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315" yWindow="90" windowWidth="15600" windowHeight="8580" activeTab="0"/>
  </bookViews>
  <sheets>
    <sheet name="Hood_Overview" sheetId="1" r:id="rId1"/>
    <sheet name="PID_Hood" sheetId="3" r:id="rId2"/>
    <sheet name="PID_Yankee" sheetId="4" r:id="rId3"/>
  </sheets>
  <definedNames/>
  <calcPr calcId="125725"/>
</workbook>
</file>

<file path=xl/sharedStrings.xml><?xml version="1.0" encoding="utf-8"?>
<sst xmlns="http://schemas.openxmlformats.org/spreadsheetml/2006/main" count="111" uniqueCount="91">
  <si>
    <t>Calculate Production Rate</t>
  </si>
  <si>
    <t>Reel Sp fpm</t>
  </si>
  <si>
    <t>Sheet Width inch</t>
  </si>
  <si>
    <t>Basis Wt lb/3000</t>
  </si>
  <si>
    <t>Lb H2O/Lb Paper</t>
  </si>
  <si>
    <t>Production, TPD</t>
  </si>
  <si>
    <t>H2O Evap, TPD</t>
  </si>
  <si>
    <t>Production, BDTPD</t>
  </si>
  <si>
    <t>Energy Cost, $/MMBTU</t>
  </si>
  <si>
    <t>Heat Capacity, Dry Air, BTU/lb-DegF</t>
  </si>
  <si>
    <t>Heat Capacity WV, BTU/lb-DegF</t>
  </si>
  <si>
    <t>WV Latent Heat Vaporization,1 atm</t>
  </si>
  <si>
    <t>Exhaust Humidity, lb water/lb da</t>
  </si>
  <si>
    <t>Water Vapour Exhaust Flow, ACFM</t>
  </si>
  <si>
    <t>Water Vapour Exhaust Flow, SCFM</t>
  </si>
  <si>
    <t>Total Exhaust Flow ACFM</t>
  </si>
  <si>
    <t>Est Cost of Evaporation, $/yr</t>
  </si>
  <si>
    <t>Total Exhaust Flow SCFM</t>
  </si>
  <si>
    <t>Sheet Inlet Temperature Deg F</t>
  </si>
  <si>
    <t>Inlet Dryness, %Solids</t>
  </si>
  <si>
    <t>Reel Dryness, % Solids</t>
  </si>
  <si>
    <t>Heat Capacity Water, BTU/lb-DegF</t>
  </si>
  <si>
    <t>Percent Evaporation from Air Cap Gas</t>
  </si>
  <si>
    <t>Operating Conditions</t>
  </si>
  <si>
    <t>Energy Cost</t>
  </si>
  <si>
    <t>Calculate Evaporation Rate</t>
  </si>
  <si>
    <t>Results</t>
  </si>
  <si>
    <t>Water Vapour Exhaust Flow, lb/min</t>
  </si>
  <si>
    <t>Dry Air Exhaust Flow, lb/min</t>
  </si>
  <si>
    <t>Dry Air Exhaust Flow, ACFM</t>
  </si>
  <si>
    <t>Dry Air Exhaust Flow, SCFM</t>
  </si>
  <si>
    <t>Humidity</t>
  </si>
  <si>
    <t>Water Vapour Exhaust, lb/hr</t>
  </si>
  <si>
    <t>Dry Air Exhaust, lb/hr</t>
  </si>
  <si>
    <t>Gas Flowrate, SCFM</t>
  </si>
  <si>
    <t>Tissue Machine  Yankee Hood - Exhaust Humidity Analysis</t>
  </si>
  <si>
    <t>Drying Cost WV</t>
  </si>
  <si>
    <t>Drying Cost DA</t>
  </si>
  <si>
    <t>Total Drying Cost</t>
  </si>
  <si>
    <t>Dry Air Flow ACFM</t>
  </si>
  <si>
    <t>Water Vapour Flow ACFM</t>
  </si>
  <si>
    <t>H2O Evap,lb/min</t>
  </si>
  <si>
    <t>Estimated Gas Flowrate, SCFM</t>
  </si>
  <si>
    <t>Energy  Constants</t>
  </si>
  <si>
    <t>PRONAMICS CONTROL INC</t>
  </si>
  <si>
    <t>Hood Exhaust Temperature, Deg F</t>
  </si>
  <si>
    <t>Economizer Exhaust Temperature, Deg F</t>
  </si>
  <si>
    <t>Enthalpy - Hood Dry Air Exhaust, BTU/MIN</t>
  </si>
  <si>
    <t>Enthalpy - Hood WV Exhaust, BTU/MIN</t>
  </si>
  <si>
    <t>Natural Gas Heat of Combustion, BTU/SCF</t>
  </si>
  <si>
    <t>Estimated Gas Flowrate, lbs/min</t>
  </si>
  <si>
    <t>Natural Gas Avg Molecular Weight</t>
  </si>
  <si>
    <t>Molecular Weight of Air</t>
  </si>
  <si>
    <t>Yankee Steam Pressure, psig</t>
  </si>
  <si>
    <t>Estimated O2 Flowrate, lbs/min</t>
  </si>
  <si>
    <t>Estimated Combustion Air Flowrate, SCFM</t>
  </si>
  <si>
    <t>Combustion Air, % Excess</t>
  </si>
  <si>
    <t xml:space="preserve"> </t>
  </si>
  <si>
    <t>Economizer Recovered, BTU/MIN</t>
  </si>
  <si>
    <t>Estimated Yankee Steam Consumption, lbs/hr</t>
  </si>
  <si>
    <t>Yankee Steam Flows</t>
  </si>
  <si>
    <t>Yankee Steam, Hvap BTU/lb</t>
  </si>
  <si>
    <t>Estimated N2 Flowrate, lb/min</t>
  </si>
  <si>
    <t>Makeup/Combustion Air Temp Deg F</t>
  </si>
  <si>
    <t>HE Enthalpy WV</t>
  </si>
  <si>
    <t>HE Enthalpy Dry Air</t>
  </si>
  <si>
    <t>EC Enthalpy WV</t>
  </si>
  <si>
    <t>EC Enthalpy, DA</t>
  </si>
  <si>
    <t>Room Air</t>
  </si>
  <si>
    <t>Deg F</t>
  </si>
  <si>
    <t>lb H2O/lb DA</t>
  </si>
  <si>
    <t>lb/min H2O</t>
  </si>
  <si>
    <t>SCFM</t>
  </si>
  <si>
    <t>ACFM</t>
  </si>
  <si>
    <t>TPD</t>
  </si>
  <si>
    <t>TPD H2O</t>
  </si>
  <si>
    <t>BDTPD Fibre</t>
  </si>
  <si>
    <t>%Moisture</t>
  </si>
  <si>
    <t>lbs/hr</t>
  </si>
  <si>
    <t>psig</t>
  </si>
  <si>
    <t>lb/min O2</t>
  </si>
  <si>
    <t>lb/min N2</t>
  </si>
  <si>
    <t>lb/min DA</t>
  </si>
  <si>
    <t>Hood Exhaust Flows</t>
  </si>
  <si>
    <t>Hood Combustion Flows</t>
  </si>
  <si>
    <t>Hood Exhaust Air Flowrates</t>
  </si>
  <si>
    <t>Enthalpy Economizer WV Exhaust, BTU/MIN</t>
  </si>
  <si>
    <t>Enthalpy Economizer Dry Air Exhaust, BTU/MIN</t>
  </si>
  <si>
    <t>Est Cost  - Dry Air Heating, $/yr</t>
  </si>
  <si>
    <t>Hood Drying Energy Cost</t>
  </si>
  <si>
    <t>Enter values in blue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</si>
</sst>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0000CC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10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9" fillId="0" borderId="0" xfId="0" applyFont="1"/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Border="1"/>
    <xf numFmtId="0" fontId="0" fillId="0" borderId="0" xfId="0" applyProtection="1">
      <protection locked="0"/>
    </xf>
    <xf numFmtId="0" fontId="16" fillId="0" borderId="3" xfId="0" applyFont="1" applyBorder="1"/>
    <xf numFmtId="0" fontId="18" fillId="0" borderId="3" xfId="0" applyFont="1" applyBorder="1"/>
    <xf numFmtId="0" fontId="9" fillId="0" borderId="0" xfId="0" applyFont="1" applyAlignment="1">
      <alignment horizontal="right"/>
    </xf>
    <xf numFmtId="1" fontId="9" fillId="0" borderId="0" xfId="0" applyNumberFormat="1" applyFont="1"/>
    <xf numFmtId="0" fontId="16" fillId="0" borderId="3" xfId="0" applyFont="1" applyBorder="1" applyProtection="1">
      <protection locked="0"/>
    </xf>
    <xf numFmtId="0" fontId="16" fillId="0" borderId="4" xfId="0" applyFont="1" applyBorder="1"/>
    <xf numFmtId="164" fontId="9" fillId="0" borderId="0" xfId="0" applyNumberFormat="1" applyFont="1"/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" fontId="9" fillId="0" borderId="0" xfId="0" applyNumberFormat="1" applyFont="1" applyAlignment="1">
      <alignment horizontal="right"/>
    </xf>
    <xf numFmtId="0" fontId="15" fillId="0" borderId="0" xfId="0" applyFont="1" applyBorder="1" applyProtection="1">
      <protection/>
    </xf>
    <xf numFmtId="0" fontId="5" fillId="0" borderId="2" xfId="0" applyFont="1" applyBorder="1"/>
    <xf numFmtId="0" fontId="7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1" fontId="8" fillId="2" borderId="6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/>
    <xf numFmtId="0" fontId="20" fillId="0" borderId="3" xfId="20" applyFont="1" applyBorder="1" applyAlignment="1" applyProtection="1">
      <alignment/>
      <protection locked="0"/>
    </xf>
    <xf numFmtId="2" fontId="8" fillId="2" borderId="5" xfId="0" applyNumberFormat="1" applyFont="1" applyFill="1" applyBorder="1" applyAlignment="1" applyProtection="1">
      <alignment horizontal="center"/>
      <protection hidden="1"/>
    </xf>
    <xf numFmtId="164" fontId="8" fillId="2" borderId="6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19" fillId="0" borderId="3" xfId="0" applyFont="1" applyBorder="1"/>
    <xf numFmtId="0" fontId="20" fillId="0" borderId="3" xfId="0" applyFont="1" applyBorder="1"/>
    <xf numFmtId="0" fontId="20" fillId="0" borderId="4" xfId="0" applyFont="1" applyBorder="1"/>
    <xf numFmtId="0" fontId="19" fillId="2" borderId="5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>
      <alignment horizontal="center"/>
    </xf>
    <xf numFmtId="0" fontId="14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4" xfId="0" applyFont="1" applyBorder="1"/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" fontId="8" fillId="2" borderId="5" xfId="0" applyNumberFormat="1" applyFont="1" applyFill="1" applyBorder="1" applyAlignment="1" applyProtection="1">
      <alignment horizontal="center"/>
      <protection hidden="1"/>
    </xf>
    <xf numFmtId="164" fontId="8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22" fillId="0" borderId="2" xfId="0" applyFont="1" applyBorder="1"/>
    <xf numFmtId="1" fontId="8" fillId="2" borderId="6" xfId="0" applyNumberFormat="1" applyFont="1" applyFill="1" applyBorder="1" applyAlignment="1">
      <alignment horizontal="center"/>
    </xf>
    <xf numFmtId="0" fontId="17" fillId="0" borderId="2" xfId="0" applyFont="1" applyBorder="1"/>
    <xf numFmtId="0" fontId="21" fillId="0" borderId="1" xfId="0" applyFont="1" applyBorder="1"/>
    <xf numFmtId="164" fontId="8" fillId="2" borderId="6" xfId="0" applyNumberFormat="1" applyFont="1" applyFill="1" applyBorder="1" applyAlignment="1">
      <alignment horizontal="center"/>
    </xf>
    <xf numFmtId="0" fontId="21" fillId="0" borderId="1" xfId="0" applyFont="1" applyBorder="1" applyProtection="1">
      <protection hidden="1"/>
    </xf>
    <xf numFmtId="0" fontId="0" fillId="0" borderId="1" xfId="0" applyBorder="1" applyProtection="1">
      <protection locked="0"/>
    </xf>
    <xf numFmtId="0" fontId="19" fillId="0" borderId="4" xfId="0" applyFont="1" applyBorder="1"/>
    <xf numFmtId="0" fontId="19" fillId="2" borderId="6" xfId="0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/>
    </xf>
    <xf numFmtId="0" fontId="24" fillId="0" borderId="0" xfId="0" applyFont="1" applyProtection="1">
      <protection locked="0"/>
    </xf>
    <xf numFmtId="2" fontId="8" fillId="2" borderId="7" xfId="0" applyNumberFormat="1" applyFont="1" applyFill="1" applyBorder="1" applyAlignment="1" applyProtection="1">
      <alignment horizontal="center"/>
      <protection locked="0"/>
    </xf>
    <xf numFmtId="0" fontId="25" fillId="0" borderId="8" xfId="0" applyFont="1" applyBorder="1" applyProtection="1">
      <protection locked="0"/>
    </xf>
    <xf numFmtId="0" fontId="1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Drying Cost, Gas Flow vs Exhaust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2"/>
          <c:y val="0.142"/>
          <c:w val="0.56225"/>
          <c:h val="0.66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Hood_Overview!$AI$2:$AI$24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Hood_Overview!$AJ$2:$AJ$24</c:f>
              <c:numCache/>
            </c:numRef>
          </c:yVal>
          <c:smooth val="1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numFmt formatCode="General" sourceLinked="1"/>
            <c:spPr>
              <a:solidFill>
                <a:srgbClr val="C00000"/>
              </a:solidFill>
            </c:spPr>
            <c:dLblPos val="b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Hood_Overview!$D$29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0070C0"/>
              </a:solidFill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Hood_Overview!$D$30</c:f>
              <c:numCache/>
            </c:numRef>
          </c:yVal>
          <c:smooth val="1"/>
        </c:ser>
        <c:axId val="64719865"/>
        <c:axId val="45607874"/>
      </c:scatterChart>
      <c:scatterChart>
        <c:scatterStyle val="smoothMarker"/>
        <c:varyColors val="0"/>
        <c:ser>
          <c:idx val="2"/>
          <c:order val="4"/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Hood_Overview!$AF$2:$AF$24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numFmt formatCode="General" sourceLinked="1"/>
            <c:spPr>
              <a:solidFill>
                <a:schemeClr val="accent6">
                  <a:lumMod val="75000"/>
                </a:schemeClr>
              </a:solidFill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Hood_Overview!$D$23</c:f>
              <c:numCache/>
            </c:numRef>
          </c:yVal>
          <c:smooth val="1"/>
        </c:ser>
        <c:axId val="7817683"/>
        <c:axId val="3250284"/>
      </c:scatterChart>
      <c:valAx>
        <c:axId val="64719865"/>
        <c:scaling>
          <c:orientation val="minMax"/>
          <c:max val="0.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Exhaust Humidity lb water/lb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7874"/>
        <c:crosses val="autoZero"/>
        <c:crossBetween val="midCat"/>
        <c:dispUnits/>
        <c:majorUnit val="0.1"/>
      </c:valAx>
      <c:valAx>
        <c:axId val="45607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Drying Cost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Evaporation</a:t>
                </a:r>
                <a:r>
                  <a:rPr lang="en-US" cap="none" sz="1100" b="1" i="0" u="none" baseline="0">
                    <a:solidFill>
                      <a:srgbClr val="C00000"/>
                    </a:solidFill>
                    <a:latin typeface="Calibri"/>
                    <a:ea typeface="Calibri"/>
                    <a:cs typeface="Calibri"/>
                  </a:rPr>
                  <a:t>
DA</a:t>
                </a:r>
                <a:r>
                  <a:rPr lang="en-US" cap="none" sz="1100" b="1" i="0" u="none" baseline="0">
                    <a:solidFill>
                      <a:srgbClr val="C00000"/>
                    </a:solidFill>
                    <a:latin typeface="Calibri"/>
                    <a:ea typeface="Calibri"/>
                    <a:cs typeface="Calibri"/>
                  </a:rPr>
                  <a:t> Heating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$/yr</a:t>
                </a:r>
              </a:p>
            </c:rich>
          </c:tx>
          <c:layout>
            <c:manualLayout>
              <c:xMode val="edge"/>
              <c:yMode val="edge"/>
              <c:x val="0"/>
              <c:y val="0.3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64719865"/>
        <c:crosses val="autoZero"/>
        <c:crossBetween val="midCat"/>
        <c:dispUnits/>
      </c:valAx>
      <c:valAx>
        <c:axId val="7817683"/>
        <c:scaling>
          <c:orientation val="minMax"/>
        </c:scaling>
        <c:axPos val="b"/>
        <c:delete val="1"/>
        <c:majorTickMark val="out"/>
        <c:minorTickMark val="none"/>
        <c:tickLblPos val="none"/>
        <c:crossAx val="3250284"/>
        <c:crosses val="max"/>
        <c:crossBetween val="midCat"/>
        <c:dispUnits/>
      </c:valAx>
      <c:valAx>
        <c:axId val="3250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accent6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rPr>
                  <a:t>Gas Flow</a:t>
                </a:r>
                <a:r>
                  <a:rPr lang="en-US" cap="none" sz="1200" b="1" i="0" u="none" baseline="0">
                    <a:solidFill>
                      <a:schemeClr val="accent6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rPr>
                  <a:t>
SCFM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7817683"/>
        <c:crosses val="max"/>
        <c:crossBetween val="midCat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CA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Exhaust Flowrates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65"/>
          <c:y val="0.1285"/>
          <c:w val="0.669"/>
          <c:h val="0.7032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Hood_Overview!$AL$2:$AL$24</c:f>
              <c:numCache/>
            </c:numRef>
          </c:yVal>
          <c:smooth val="1"/>
        </c:ser>
        <c:ser>
          <c:idx val="1"/>
          <c:order val="1"/>
          <c:spPr>
            <a:ln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Hood_Overview!$AM$2:$AM$24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Hood_Overview!$AA$2:$AA$24</c:f>
              <c:numCache/>
            </c:numRef>
          </c:xVal>
          <c:yVal>
            <c:numRef>
              <c:f>Hood_Overview!$AN$2:$AN$24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numFmt formatCode="General" sourceLinked="1"/>
            <c:spPr>
              <a:solidFill>
                <a:srgbClr val="00B050"/>
              </a:solidFill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Hood_Overview!$D$36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numFmt formatCode="General" sourceLinked="1"/>
            <c:spPr>
              <a:solidFill>
                <a:srgbClr val="C00000"/>
              </a:solidFill>
            </c:spPr>
            <c:dLblPos val="l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Hood_Overview!$D$32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1"/>
              </a:solidFill>
            </c:spPr>
          </c:marker>
          <c:dLbls>
            <c:numFmt formatCode="General" sourceLinked="1"/>
            <c:spPr>
              <a:solidFill>
                <a:srgbClr val="0070C0"/>
              </a:solidFill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Hood_Overview!$F$4</c:f>
              <c:numCache/>
            </c:numRef>
          </c:xVal>
          <c:yVal>
            <c:numRef>
              <c:f>Hood_Overview!$D$34</c:f>
              <c:numCache/>
            </c:numRef>
          </c:yVal>
          <c:smooth val="1"/>
        </c:ser>
        <c:axId val="29252557"/>
        <c:axId val="61946422"/>
      </c:scatterChart>
      <c:valAx>
        <c:axId val="29252557"/>
        <c:scaling>
          <c:orientation val="minMax"/>
          <c:max val="0.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Exhaust Humidity, lb water/lb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crossBetween val="midCat"/>
        <c:dispUnits/>
        <c:majorUnit val="0.1"/>
      </c:valAx>
      <c:valAx>
        <c:axId val="61946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rPr>
                  <a:t>Total Flow</a:t>
                </a:r>
                <a:r>
                  <a:rPr lang="en-US" cap="none" sz="1000" b="1" i="0" u="none" baseline="0">
                    <a:solidFill>
                      <a:srgbClr val="C00000"/>
                    </a:solidFill>
                    <a:latin typeface="Calibri"/>
                    <a:ea typeface="Calibri"/>
                    <a:cs typeface="Calibri"/>
                  </a:rPr>
                  <a:t>
Dry Air Flow</a:t>
                </a:r>
                <a:r>
                  <a:rPr lang="en-US" cap="none" sz="1000" b="1" i="0" u="none" baseline="0">
                    <a:solidFill>
                      <a:srgbClr val="0070C0"/>
                    </a:solidFill>
                    <a:latin typeface="Calibri"/>
                    <a:ea typeface="Calibri"/>
                    <a:cs typeface="Calibri"/>
                  </a:rPr>
                  <a:t>
WV Flow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ACFM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52557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CA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11.png" /><Relationship Id="rId5" Type="http://schemas.openxmlformats.org/officeDocument/2006/relationships/image" Target="../media/image12.emf" /><Relationship Id="rId6" Type="http://schemas.openxmlformats.org/officeDocument/2006/relationships/image" Target="../media/image13.png" /><Relationship Id="rId7" Type="http://schemas.openxmlformats.org/officeDocument/2006/relationships/image" Target="../media/image7.png" /><Relationship Id="rId8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png" /><Relationship Id="rId3" Type="http://schemas.openxmlformats.org/officeDocument/2006/relationships/image" Target="../media/image2.png" /><Relationship Id="rId4" Type="http://schemas.openxmlformats.org/officeDocument/2006/relationships/image" Target="../media/image11.png" /><Relationship Id="rId5" Type="http://schemas.openxmlformats.org/officeDocument/2006/relationships/image" Target="../media/image12.emf" /><Relationship Id="rId6" Type="http://schemas.openxmlformats.org/officeDocument/2006/relationships/image" Target="../media/image13.png" /><Relationship Id="rId7" Type="http://schemas.openxmlformats.org/officeDocument/2006/relationships/image" Target="../media/image7.png" /><Relationship Id="rId8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819150</xdr:colOff>
      <xdr:row>2</xdr:row>
      <xdr:rowOff>19050</xdr:rowOff>
    </xdr:to>
    <xdr:pic>
      <xdr:nvPicPr>
        <xdr:cNvPr id="1068" name="Picture 1" descr="PCI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38100"/>
          <a:ext cx="714375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38100</xdr:colOff>
      <xdr:row>5</xdr:row>
      <xdr:rowOff>28575</xdr:rowOff>
    </xdr:from>
    <xdr:to>
      <xdr:col>6</xdr:col>
      <xdr:colOff>1066800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9582150" y="1219200"/>
        <a:ext cx="52197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19</xdr:row>
      <xdr:rowOff>123825</xdr:rowOff>
    </xdr:from>
    <xdr:to>
      <xdr:col>6</xdr:col>
      <xdr:colOff>1066800</xdr:colOff>
      <xdr:row>33</xdr:row>
      <xdr:rowOff>104775</xdr:rowOff>
    </xdr:to>
    <xdr:graphicFrame macro="">
      <xdr:nvGraphicFramePr>
        <xdr:cNvPr id="4" name="Chart 3"/>
        <xdr:cNvGraphicFramePr/>
      </xdr:nvGraphicFramePr>
      <xdr:xfrm>
        <a:off x="9582150" y="4143375"/>
        <a:ext cx="52197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50</xdr:row>
      <xdr:rowOff>28575</xdr:rowOff>
    </xdr:from>
    <xdr:to>
      <xdr:col>12</xdr:col>
      <xdr:colOff>381000</xdr:colOff>
      <xdr:row>59</xdr:row>
      <xdr:rowOff>133350</xdr:rowOff>
    </xdr:to>
    <xdr:sp macro="" textlink="">
      <xdr:nvSpPr>
        <xdr:cNvPr id="116244" name="Rectangle 9"/>
        <xdr:cNvSpPr>
          <a:spLocks noChangeArrowheads="1"/>
        </xdr:cNvSpPr>
      </xdr:nvSpPr>
      <xdr:spPr bwMode="auto">
        <a:xfrm>
          <a:off x="4667250" y="9601200"/>
          <a:ext cx="3048000" cy="1819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152400</xdr:colOff>
      <xdr:row>44</xdr:row>
      <xdr:rowOff>76200</xdr:rowOff>
    </xdr:from>
    <xdr:to>
      <xdr:col>11</xdr:col>
      <xdr:colOff>457200</xdr:colOff>
      <xdr:row>44</xdr:row>
      <xdr:rowOff>76200</xdr:rowOff>
    </xdr:to>
    <xdr:sp macro="" textlink="">
      <xdr:nvSpPr>
        <xdr:cNvPr id="116245" name="Line 36"/>
        <xdr:cNvSpPr>
          <a:spLocks noChangeShapeType="1"/>
        </xdr:cNvSpPr>
      </xdr:nvSpPr>
      <xdr:spPr bwMode="auto">
        <a:xfrm>
          <a:off x="6877050" y="8505825"/>
          <a:ext cx="3048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 editAs="oneCell">
    <xdr:from>
      <xdr:col>7</xdr:col>
      <xdr:colOff>0</xdr:colOff>
      <xdr:row>20</xdr:row>
      <xdr:rowOff>133350</xdr:rowOff>
    </xdr:from>
    <xdr:to>
      <xdr:col>9</xdr:col>
      <xdr:colOff>238125</xdr:colOff>
      <xdr:row>26</xdr:row>
      <xdr:rowOff>114300</xdr:rowOff>
    </xdr:to>
    <xdr:pic>
      <xdr:nvPicPr>
        <xdr:cNvPr id="11624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990975"/>
          <a:ext cx="1457325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428625</xdr:colOff>
      <xdr:row>15</xdr:row>
      <xdr:rowOff>180975</xdr:rowOff>
    </xdr:from>
    <xdr:to>
      <xdr:col>7</xdr:col>
      <xdr:colOff>152400</xdr:colOff>
      <xdr:row>17</xdr:row>
      <xdr:rowOff>95250</xdr:rowOff>
    </xdr:to>
    <xdr:pic>
      <xdr:nvPicPr>
        <xdr:cNvPr id="116247" name="Picture 50" descr="fanl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086225" y="3086100"/>
          <a:ext cx="352425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142875</xdr:colOff>
      <xdr:row>15</xdr:row>
      <xdr:rowOff>95250</xdr:rowOff>
    </xdr:from>
    <xdr:to>
      <xdr:col>11</xdr:col>
      <xdr:colOff>76200</xdr:colOff>
      <xdr:row>16</xdr:row>
      <xdr:rowOff>76200</xdr:rowOff>
    </xdr:to>
    <xdr:sp macro="" textlink="">
      <xdr:nvSpPr>
        <xdr:cNvPr id="53" name="Rectangle 52"/>
        <xdr:cNvSpPr/>
      </xdr:nvSpPr>
      <xdr:spPr>
        <a:xfrm>
          <a:off x="6257925" y="3000375"/>
          <a:ext cx="542925" cy="17145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/>
        <a:p>
          <a:endParaRPr lang="en-CA"/>
        </a:p>
      </xdr:txBody>
    </xdr:sp>
    <xdr:clientData/>
  </xdr:twoCellAnchor>
  <xdr:twoCellAnchor editAs="oneCell">
    <xdr:from>
      <xdr:col>13</xdr:col>
      <xdr:colOff>552450</xdr:colOff>
      <xdr:row>15</xdr:row>
      <xdr:rowOff>142875</xdr:rowOff>
    </xdr:from>
    <xdr:to>
      <xdr:col>14</xdr:col>
      <xdr:colOff>219075</xdr:colOff>
      <xdr:row>16</xdr:row>
      <xdr:rowOff>180975</xdr:rowOff>
    </xdr:to>
    <xdr:pic>
      <xdr:nvPicPr>
        <xdr:cNvPr id="116249" name="Picture 53" descr="fanlf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496300" y="3048000"/>
          <a:ext cx="27622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19050</xdr:colOff>
      <xdr:row>12</xdr:row>
      <xdr:rowOff>123825</xdr:rowOff>
    </xdr:from>
    <xdr:to>
      <xdr:col>12</xdr:col>
      <xdr:colOff>171450</xdr:colOff>
      <xdr:row>13</xdr:row>
      <xdr:rowOff>152400</xdr:rowOff>
    </xdr:to>
    <xdr:pic>
      <xdr:nvPicPr>
        <xdr:cNvPr id="116250" name="Picture 54" descr="valve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353300" y="2457450"/>
          <a:ext cx="1524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552450</xdr:colOff>
      <xdr:row>16</xdr:row>
      <xdr:rowOff>95250</xdr:rowOff>
    </xdr:from>
    <xdr:to>
      <xdr:col>8</xdr:col>
      <xdr:colOff>552450</xdr:colOff>
      <xdr:row>20</xdr:row>
      <xdr:rowOff>133350</xdr:rowOff>
    </xdr:to>
    <xdr:cxnSp macro="">
      <xdr:nvCxnSpPr>
        <xdr:cNvPr id="57" name="Straight Connector 56"/>
        <xdr:cNvCxnSpPr/>
      </xdr:nvCxnSpPr>
      <xdr:spPr>
        <a:xfrm rot="5400000" flipH="1" flipV="1">
          <a:off x="5448300" y="3190875"/>
          <a:ext cx="0" cy="80010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16</xdr:row>
      <xdr:rowOff>104775</xdr:rowOff>
    </xdr:from>
    <xdr:to>
      <xdr:col>9</xdr:col>
      <xdr:colOff>200025</xdr:colOff>
      <xdr:row>16</xdr:row>
      <xdr:rowOff>104775</xdr:rowOff>
    </xdr:to>
    <xdr:cxnSp macro="">
      <xdr:nvCxnSpPr>
        <xdr:cNvPr id="59" name="Straight Connector 58"/>
        <xdr:cNvCxnSpPr>
          <a:endCxn id="50" idx="1"/>
        </xdr:cNvCxnSpPr>
      </xdr:nvCxnSpPr>
      <xdr:spPr>
        <a:xfrm flipV="1">
          <a:off x="5457825" y="3200400"/>
          <a:ext cx="247650" cy="0"/>
        </a:xfrm>
        <a:prstGeom prst="line">
          <a:avLst/>
        </a:prstGeom>
        <a:ln w="285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15</xdr:row>
      <xdr:rowOff>171450</xdr:rowOff>
    </xdr:from>
    <xdr:to>
      <xdr:col>10</xdr:col>
      <xdr:colOff>123825</xdr:colOff>
      <xdr:row>15</xdr:row>
      <xdr:rowOff>171450</xdr:rowOff>
    </xdr:to>
    <xdr:cxnSp macro="">
      <xdr:nvCxnSpPr>
        <xdr:cNvPr id="64" name="Straight Connector 63"/>
        <xdr:cNvCxnSpPr/>
      </xdr:nvCxnSpPr>
      <xdr:spPr>
        <a:xfrm>
          <a:off x="5953125" y="3076575"/>
          <a:ext cx="285750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13</xdr:row>
      <xdr:rowOff>95250</xdr:rowOff>
    </xdr:from>
    <xdr:to>
      <xdr:col>15</xdr:col>
      <xdr:colOff>409575</xdr:colOff>
      <xdr:row>13</xdr:row>
      <xdr:rowOff>95250</xdr:rowOff>
    </xdr:to>
    <xdr:cxnSp macro="">
      <xdr:nvCxnSpPr>
        <xdr:cNvPr id="66" name="Straight Connector 65"/>
        <xdr:cNvCxnSpPr/>
      </xdr:nvCxnSpPr>
      <xdr:spPr>
        <a:xfrm flipV="1">
          <a:off x="7505700" y="2619375"/>
          <a:ext cx="2066925" cy="0"/>
        </a:xfrm>
        <a:prstGeom prst="line">
          <a:avLst/>
        </a:prstGeom>
        <a:ln w="2857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104775</xdr:rowOff>
    </xdr:from>
    <xdr:to>
      <xdr:col>12</xdr:col>
      <xdr:colOff>9525</xdr:colOff>
      <xdr:row>13</xdr:row>
      <xdr:rowOff>104775</xdr:rowOff>
    </xdr:to>
    <xdr:cxnSp macro="">
      <xdr:nvCxnSpPr>
        <xdr:cNvPr id="68" name="Straight Connector 67"/>
        <xdr:cNvCxnSpPr/>
      </xdr:nvCxnSpPr>
      <xdr:spPr>
        <a:xfrm rot="10800000">
          <a:off x="6677025" y="2628900"/>
          <a:ext cx="666750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13</xdr:row>
      <xdr:rowOff>104775</xdr:rowOff>
    </xdr:from>
    <xdr:to>
      <xdr:col>10</xdr:col>
      <xdr:colOff>571500</xdr:colOff>
      <xdr:row>15</xdr:row>
      <xdr:rowOff>123825</xdr:rowOff>
    </xdr:to>
    <xdr:cxnSp macro="">
      <xdr:nvCxnSpPr>
        <xdr:cNvPr id="70" name="Straight Connector 69"/>
        <xdr:cNvCxnSpPr/>
      </xdr:nvCxnSpPr>
      <xdr:spPr>
        <a:xfrm rot="5400000">
          <a:off x="6686550" y="2628900"/>
          <a:ext cx="0" cy="40005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15</xdr:row>
      <xdr:rowOff>161925</xdr:rowOff>
    </xdr:from>
    <xdr:to>
      <xdr:col>13</xdr:col>
      <xdr:colOff>561975</xdr:colOff>
      <xdr:row>15</xdr:row>
      <xdr:rowOff>161925</xdr:rowOff>
    </xdr:to>
    <xdr:cxnSp macro="">
      <xdr:nvCxnSpPr>
        <xdr:cNvPr id="72" name="Straight Connector 71"/>
        <xdr:cNvCxnSpPr/>
      </xdr:nvCxnSpPr>
      <xdr:spPr>
        <a:xfrm rot="10800000">
          <a:off x="6791325" y="3067050"/>
          <a:ext cx="1714500" cy="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16</xdr:row>
      <xdr:rowOff>57150</xdr:rowOff>
    </xdr:from>
    <xdr:to>
      <xdr:col>15</xdr:col>
      <xdr:colOff>428625</xdr:colOff>
      <xdr:row>16</xdr:row>
      <xdr:rowOff>66675</xdr:rowOff>
    </xdr:to>
    <xdr:cxnSp macro="">
      <xdr:nvCxnSpPr>
        <xdr:cNvPr id="76" name="Straight Connector 75"/>
        <xdr:cNvCxnSpPr>
          <a:stCxn id="54" idx="3"/>
        </xdr:cNvCxnSpPr>
      </xdr:nvCxnSpPr>
      <xdr:spPr>
        <a:xfrm flipV="1">
          <a:off x="8772525" y="3152775"/>
          <a:ext cx="819150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16</xdr:row>
      <xdr:rowOff>76200</xdr:rowOff>
    </xdr:from>
    <xdr:to>
      <xdr:col>10</xdr:col>
      <xdr:colOff>419100</xdr:colOff>
      <xdr:row>21</xdr:row>
      <xdr:rowOff>95250</xdr:rowOff>
    </xdr:to>
    <xdr:cxnSp macro="">
      <xdr:nvCxnSpPr>
        <xdr:cNvPr id="78" name="Straight Connector 77"/>
        <xdr:cNvCxnSpPr>
          <a:stCxn id="53" idx="2"/>
        </xdr:cNvCxnSpPr>
      </xdr:nvCxnSpPr>
      <xdr:spPr>
        <a:xfrm rot="16200000" flipH="1">
          <a:off x="6524625" y="3171825"/>
          <a:ext cx="9525" cy="97155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21</xdr:row>
      <xdr:rowOff>95250</xdr:rowOff>
    </xdr:from>
    <xdr:to>
      <xdr:col>10</xdr:col>
      <xdr:colOff>409575</xdr:colOff>
      <xdr:row>21</xdr:row>
      <xdr:rowOff>104775</xdr:rowOff>
    </xdr:to>
    <xdr:cxnSp macro="">
      <xdr:nvCxnSpPr>
        <xdr:cNvPr id="80" name="Straight Connector 79"/>
        <xdr:cNvCxnSpPr/>
      </xdr:nvCxnSpPr>
      <xdr:spPr>
        <a:xfrm rot="10800000" flipV="1">
          <a:off x="5715000" y="4143375"/>
          <a:ext cx="809625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571500</xdr:colOff>
      <xdr:row>15</xdr:row>
      <xdr:rowOff>19050</xdr:rowOff>
    </xdr:from>
    <xdr:to>
      <xdr:col>13</xdr:col>
      <xdr:colOff>142875</xdr:colOff>
      <xdr:row>16</xdr:row>
      <xdr:rowOff>123825</xdr:rowOff>
    </xdr:to>
    <xdr:pic>
      <xdr:nvPicPr>
        <xdr:cNvPr id="116261" name="Picture 80" descr="damper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7905750" y="2924175"/>
          <a:ext cx="180975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419100</xdr:colOff>
      <xdr:row>22</xdr:row>
      <xdr:rowOff>76200</xdr:rowOff>
    </xdr:from>
    <xdr:to>
      <xdr:col>10</xdr:col>
      <xdr:colOff>219075</xdr:colOff>
      <xdr:row>24</xdr:row>
      <xdr:rowOff>57150</xdr:rowOff>
    </xdr:to>
    <xdr:pic>
      <xdr:nvPicPr>
        <xdr:cNvPr id="116262" name="Picture 3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924550" y="4314825"/>
          <a:ext cx="40957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314325</xdr:colOff>
      <xdr:row>19</xdr:row>
      <xdr:rowOff>76200</xdr:rowOff>
    </xdr:from>
    <xdr:to>
      <xdr:col>7</xdr:col>
      <xdr:colOff>609600</xdr:colOff>
      <xdr:row>20</xdr:row>
      <xdr:rowOff>66675</xdr:rowOff>
    </xdr:to>
    <xdr:pic>
      <xdr:nvPicPr>
        <xdr:cNvPr id="116263" name="Picture 86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600575" y="3743325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447675</xdr:colOff>
      <xdr:row>16</xdr:row>
      <xdr:rowOff>104775</xdr:rowOff>
    </xdr:from>
    <xdr:to>
      <xdr:col>7</xdr:col>
      <xdr:colOff>447675</xdr:colOff>
      <xdr:row>20</xdr:row>
      <xdr:rowOff>142875</xdr:rowOff>
    </xdr:to>
    <xdr:cxnSp macro="">
      <xdr:nvCxnSpPr>
        <xdr:cNvPr id="88" name="Straight Connector 87"/>
        <xdr:cNvCxnSpPr/>
      </xdr:nvCxnSpPr>
      <xdr:spPr>
        <a:xfrm rot="5400000" flipH="1" flipV="1">
          <a:off x="4733925" y="3200400"/>
          <a:ext cx="0" cy="80010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16</xdr:row>
      <xdr:rowOff>104775</xdr:rowOff>
    </xdr:from>
    <xdr:to>
      <xdr:col>7</xdr:col>
      <xdr:colOff>447675</xdr:colOff>
      <xdr:row>16</xdr:row>
      <xdr:rowOff>104775</xdr:rowOff>
    </xdr:to>
    <xdr:cxnSp macro="">
      <xdr:nvCxnSpPr>
        <xdr:cNvPr id="89" name="Straight Connector 88"/>
        <xdr:cNvCxnSpPr/>
      </xdr:nvCxnSpPr>
      <xdr:spPr>
        <a:xfrm flipV="1">
          <a:off x="4438650" y="3200400"/>
          <a:ext cx="295275" cy="0"/>
        </a:xfrm>
        <a:prstGeom prst="line">
          <a:avLst/>
        </a:prstGeom>
        <a:ln w="285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15</xdr:row>
      <xdr:rowOff>123825</xdr:rowOff>
    </xdr:from>
    <xdr:to>
      <xdr:col>6</xdr:col>
      <xdr:colOff>114300</xdr:colOff>
      <xdr:row>16</xdr:row>
      <xdr:rowOff>104775</xdr:rowOff>
    </xdr:to>
    <xdr:sp macro="" textlink="">
      <xdr:nvSpPr>
        <xdr:cNvPr id="90" name="Rectangle 89"/>
        <xdr:cNvSpPr/>
      </xdr:nvSpPr>
      <xdr:spPr>
        <a:xfrm>
          <a:off x="3228975" y="3028950"/>
          <a:ext cx="542925" cy="17145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/>
        <a:p>
          <a:endParaRPr lang="en-CA"/>
        </a:p>
      </xdr:txBody>
    </xdr:sp>
    <xdr:clientData/>
  </xdr:twoCellAnchor>
  <xdr:twoCellAnchor>
    <xdr:from>
      <xdr:col>6</xdr:col>
      <xdr:colOff>133350</xdr:colOff>
      <xdr:row>16</xdr:row>
      <xdr:rowOff>9525</xdr:rowOff>
    </xdr:from>
    <xdr:to>
      <xdr:col>6</xdr:col>
      <xdr:colOff>419100</xdr:colOff>
      <xdr:row>16</xdr:row>
      <xdr:rowOff>9525</xdr:rowOff>
    </xdr:to>
    <xdr:cxnSp macro="">
      <xdr:nvCxnSpPr>
        <xdr:cNvPr id="91" name="Straight Connector 90"/>
        <xdr:cNvCxnSpPr/>
      </xdr:nvCxnSpPr>
      <xdr:spPr>
        <a:xfrm>
          <a:off x="3790950" y="3105150"/>
          <a:ext cx="285750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13</xdr:row>
      <xdr:rowOff>123825</xdr:rowOff>
    </xdr:from>
    <xdr:to>
      <xdr:col>5</xdr:col>
      <xdr:colOff>542925</xdr:colOff>
      <xdr:row>13</xdr:row>
      <xdr:rowOff>142875</xdr:rowOff>
    </xdr:to>
    <xdr:cxnSp macro="">
      <xdr:nvCxnSpPr>
        <xdr:cNvPr id="93" name="Straight Connector 92"/>
        <xdr:cNvCxnSpPr/>
      </xdr:nvCxnSpPr>
      <xdr:spPr>
        <a:xfrm flipV="1">
          <a:off x="1428750" y="2647950"/>
          <a:ext cx="2162175" cy="19050"/>
        </a:xfrm>
        <a:prstGeom prst="line">
          <a:avLst/>
        </a:prstGeom>
        <a:ln w="2857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13</xdr:row>
      <xdr:rowOff>123825</xdr:rowOff>
    </xdr:from>
    <xdr:to>
      <xdr:col>5</xdr:col>
      <xdr:colOff>552450</xdr:colOff>
      <xdr:row>15</xdr:row>
      <xdr:rowOff>142875</xdr:rowOff>
    </xdr:to>
    <xdr:cxnSp macro="">
      <xdr:nvCxnSpPr>
        <xdr:cNvPr id="95" name="Straight Connector 94"/>
        <xdr:cNvCxnSpPr/>
      </xdr:nvCxnSpPr>
      <xdr:spPr>
        <a:xfrm rot="5400000">
          <a:off x="3600450" y="2647950"/>
          <a:ext cx="0" cy="40005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16</xdr:row>
      <xdr:rowOff>19050</xdr:rowOff>
    </xdr:from>
    <xdr:to>
      <xdr:col>5</xdr:col>
      <xdr:colOff>180975</xdr:colOff>
      <xdr:row>16</xdr:row>
      <xdr:rowOff>38100</xdr:rowOff>
    </xdr:to>
    <xdr:cxnSp macro="">
      <xdr:nvCxnSpPr>
        <xdr:cNvPr id="98" name="Straight Connector 97"/>
        <xdr:cNvCxnSpPr>
          <a:endCxn id="90" idx="1"/>
        </xdr:cNvCxnSpPr>
      </xdr:nvCxnSpPr>
      <xdr:spPr>
        <a:xfrm flipV="1">
          <a:off x="1628775" y="3114675"/>
          <a:ext cx="1600200" cy="1905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161925</xdr:colOff>
      <xdr:row>15</xdr:row>
      <xdr:rowOff>85725</xdr:rowOff>
    </xdr:from>
    <xdr:to>
      <xdr:col>3</xdr:col>
      <xdr:colOff>342900</xdr:colOff>
      <xdr:row>17</xdr:row>
      <xdr:rowOff>0</xdr:rowOff>
    </xdr:to>
    <xdr:pic>
      <xdr:nvPicPr>
        <xdr:cNvPr id="116271" name="Picture 98" descr="damper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2990850"/>
          <a:ext cx="180975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19050</xdr:rowOff>
    </xdr:from>
    <xdr:to>
      <xdr:col>2</xdr:col>
      <xdr:colOff>419100</xdr:colOff>
      <xdr:row>17</xdr:row>
      <xdr:rowOff>66675</xdr:rowOff>
    </xdr:to>
    <xdr:pic>
      <xdr:nvPicPr>
        <xdr:cNvPr id="116272" name="Picture 99" descr="fan_r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352550" y="3114675"/>
          <a:ext cx="2857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542925</xdr:colOff>
      <xdr:row>16</xdr:row>
      <xdr:rowOff>114300</xdr:rowOff>
    </xdr:from>
    <xdr:to>
      <xdr:col>5</xdr:col>
      <xdr:colOff>552450</xdr:colOff>
      <xdr:row>21</xdr:row>
      <xdr:rowOff>133350</xdr:rowOff>
    </xdr:to>
    <xdr:cxnSp macro="">
      <xdr:nvCxnSpPr>
        <xdr:cNvPr id="103" name="Straight Connector 102"/>
        <xdr:cNvCxnSpPr/>
      </xdr:nvCxnSpPr>
      <xdr:spPr>
        <a:xfrm rot="16200000" flipH="1">
          <a:off x="3590925" y="3209925"/>
          <a:ext cx="9525" cy="97155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21</xdr:row>
      <xdr:rowOff>133350</xdr:rowOff>
    </xdr:from>
    <xdr:to>
      <xdr:col>7</xdr:col>
      <xdr:colOff>19050</xdr:colOff>
      <xdr:row>21</xdr:row>
      <xdr:rowOff>142875</xdr:rowOff>
    </xdr:to>
    <xdr:cxnSp macro="">
      <xdr:nvCxnSpPr>
        <xdr:cNvPr id="104" name="Straight Connector 103"/>
        <xdr:cNvCxnSpPr/>
      </xdr:nvCxnSpPr>
      <xdr:spPr>
        <a:xfrm flipV="1">
          <a:off x="3590925" y="4181475"/>
          <a:ext cx="714375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</xdr:colOff>
      <xdr:row>22</xdr:row>
      <xdr:rowOff>85725</xdr:rowOff>
    </xdr:from>
    <xdr:to>
      <xdr:col>6</xdr:col>
      <xdr:colOff>447675</xdr:colOff>
      <xdr:row>24</xdr:row>
      <xdr:rowOff>66675</xdr:rowOff>
    </xdr:to>
    <xdr:pic>
      <xdr:nvPicPr>
        <xdr:cNvPr id="116275" name="Picture 3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695700" y="4324350"/>
          <a:ext cx="40957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219075</xdr:colOff>
      <xdr:row>12</xdr:row>
      <xdr:rowOff>142875</xdr:rowOff>
    </xdr:from>
    <xdr:to>
      <xdr:col>4</xdr:col>
      <xdr:colOff>371475</xdr:colOff>
      <xdr:row>13</xdr:row>
      <xdr:rowOff>171450</xdr:rowOff>
    </xdr:to>
    <xdr:pic>
      <xdr:nvPicPr>
        <xdr:cNvPr id="116276" name="Picture 91" descr="valve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657475" y="2476500"/>
          <a:ext cx="1524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438150</xdr:colOff>
      <xdr:row>5</xdr:row>
      <xdr:rowOff>85725</xdr:rowOff>
    </xdr:from>
    <xdr:to>
      <xdr:col>9</xdr:col>
      <xdr:colOff>104775</xdr:colOff>
      <xdr:row>6</xdr:row>
      <xdr:rowOff>123825</xdr:rowOff>
    </xdr:to>
    <xdr:pic>
      <xdr:nvPicPr>
        <xdr:cNvPr id="116277" name="Picture 107" descr="fan_r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334000" y="1085850"/>
          <a:ext cx="27622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447675</xdr:colOff>
      <xdr:row>17</xdr:row>
      <xdr:rowOff>95250</xdr:rowOff>
    </xdr:from>
    <xdr:to>
      <xdr:col>8</xdr:col>
      <xdr:colOff>76200</xdr:colOff>
      <xdr:row>17</xdr:row>
      <xdr:rowOff>95250</xdr:rowOff>
    </xdr:to>
    <xdr:cxnSp macro="">
      <xdr:nvCxnSpPr>
        <xdr:cNvPr id="112" name="Straight Connector 111"/>
        <xdr:cNvCxnSpPr/>
      </xdr:nvCxnSpPr>
      <xdr:spPr>
        <a:xfrm>
          <a:off x="4733925" y="3381375"/>
          <a:ext cx="238125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11</xdr:row>
      <xdr:rowOff>114300</xdr:rowOff>
    </xdr:from>
    <xdr:to>
      <xdr:col>8</xdr:col>
      <xdr:colOff>76200</xdr:colOff>
      <xdr:row>17</xdr:row>
      <xdr:rowOff>95250</xdr:rowOff>
    </xdr:to>
    <xdr:cxnSp macro="">
      <xdr:nvCxnSpPr>
        <xdr:cNvPr id="114" name="Straight Connector 113"/>
        <xdr:cNvCxnSpPr/>
      </xdr:nvCxnSpPr>
      <xdr:spPr>
        <a:xfrm rot="5400000" flipH="1" flipV="1">
          <a:off x="4972050" y="2257425"/>
          <a:ext cx="0" cy="112395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533400</xdr:colOff>
      <xdr:row>13</xdr:row>
      <xdr:rowOff>123825</xdr:rowOff>
    </xdr:from>
    <xdr:to>
      <xdr:col>8</xdr:col>
      <xdr:colOff>219075</xdr:colOff>
      <xdr:row>14</xdr:row>
      <xdr:rowOff>114300</xdr:rowOff>
    </xdr:to>
    <xdr:pic>
      <xdr:nvPicPr>
        <xdr:cNvPr id="116280" name="Picture 114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819650" y="2647950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352425</xdr:colOff>
      <xdr:row>11</xdr:row>
      <xdr:rowOff>114300</xdr:rowOff>
    </xdr:from>
    <xdr:to>
      <xdr:col>8</xdr:col>
      <xdr:colOff>352425</xdr:colOff>
      <xdr:row>17</xdr:row>
      <xdr:rowOff>95250</xdr:rowOff>
    </xdr:to>
    <xdr:cxnSp macro="">
      <xdr:nvCxnSpPr>
        <xdr:cNvPr id="116" name="Straight Connector 115"/>
        <xdr:cNvCxnSpPr/>
      </xdr:nvCxnSpPr>
      <xdr:spPr>
        <a:xfrm rot="16200000" flipV="1">
          <a:off x="5248275" y="2257425"/>
          <a:ext cx="0" cy="112395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219075</xdr:colOff>
      <xdr:row>13</xdr:row>
      <xdr:rowOff>123825</xdr:rowOff>
    </xdr:from>
    <xdr:to>
      <xdr:col>8</xdr:col>
      <xdr:colOff>514350</xdr:colOff>
      <xdr:row>14</xdr:row>
      <xdr:rowOff>114300</xdr:rowOff>
    </xdr:to>
    <xdr:pic>
      <xdr:nvPicPr>
        <xdr:cNvPr id="116282" name="Picture 116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5114925" y="2647950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361950</xdr:colOff>
      <xdr:row>17</xdr:row>
      <xdr:rowOff>85725</xdr:rowOff>
    </xdr:from>
    <xdr:to>
      <xdr:col>8</xdr:col>
      <xdr:colOff>542925</xdr:colOff>
      <xdr:row>17</xdr:row>
      <xdr:rowOff>85725</xdr:rowOff>
    </xdr:to>
    <xdr:cxnSp macro="">
      <xdr:nvCxnSpPr>
        <xdr:cNvPr id="119" name="Straight Connector 118"/>
        <xdr:cNvCxnSpPr/>
      </xdr:nvCxnSpPr>
      <xdr:spPr>
        <a:xfrm flipV="1">
          <a:off x="5257800" y="3371850"/>
          <a:ext cx="180975" cy="0"/>
        </a:xfrm>
        <a:prstGeom prst="line">
          <a:avLst/>
        </a:prstGeom>
        <a:ln w="285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9</xdr:row>
      <xdr:rowOff>57150</xdr:rowOff>
    </xdr:from>
    <xdr:to>
      <xdr:col>8</xdr:col>
      <xdr:colOff>561975</xdr:colOff>
      <xdr:row>11</xdr:row>
      <xdr:rowOff>114300</xdr:rowOff>
    </xdr:to>
    <xdr:sp macro="" textlink="">
      <xdr:nvSpPr>
        <xdr:cNvPr id="120" name="Rectangle 119"/>
        <xdr:cNvSpPr/>
      </xdr:nvSpPr>
      <xdr:spPr>
        <a:xfrm>
          <a:off x="4752975" y="1819275"/>
          <a:ext cx="704850" cy="438150"/>
        </a:xfrm>
        <a:prstGeom prst="rect">
          <a:avLst/>
        </a:prstGeom>
        <a:solidFill>
          <a:srgbClr val="D9D9D9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8</xdr:col>
      <xdr:colOff>209550</xdr:colOff>
      <xdr:row>5</xdr:row>
      <xdr:rowOff>180975</xdr:rowOff>
    </xdr:from>
    <xdr:to>
      <xdr:col>8</xdr:col>
      <xdr:colOff>209550</xdr:colOff>
      <xdr:row>9</xdr:row>
      <xdr:rowOff>57150</xdr:rowOff>
    </xdr:to>
    <xdr:cxnSp macro="">
      <xdr:nvCxnSpPr>
        <xdr:cNvPr id="127" name="Straight Connector 126"/>
        <xdr:cNvCxnSpPr>
          <a:stCxn id="120" idx="0"/>
        </xdr:cNvCxnSpPr>
      </xdr:nvCxnSpPr>
      <xdr:spPr>
        <a:xfrm rot="5400000" flipH="1" flipV="1">
          <a:off x="5105400" y="1181100"/>
          <a:ext cx="0" cy="638175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5</xdr:row>
      <xdr:rowOff>180975</xdr:rowOff>
    </xdr:from>
    <xdr:to>
      <xdr:col>8</xdr:col>
      <xdr:colOff>447675</xdr:colOff>
      <xdr:row>5</xdr:row>
      <xdr:rowOff>180975</xdr:rowOff>
    </xdr:to>
    <xdr:cxnSp macro="">
      <xdr:nvCxnSpPr>
        <xdr:cNvPr id="130" name="Straight Connector 129"/>
        <xdr:cNvCxnSpPr/>
      </xdr:nvCxnSpPr>
      <xdr:spPr>
        <a:xfrm>
          <a:off x="5105400" y="1181100"/>
          <a:ext cx="238125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9</xdr:row>
      <xdr:rowOff>85725</xdr:rowOff>
    </xdr:from>
    <xdr:to>
      <xdr:col>8</xdr:col>
      <xdr:colOff>552450</xdr:colOff>
      <xdr:row>10</xdr:row>
      <xdr:rowOff>114300</xdr:rowOff>
    </xdr:to>
    <xdr:sp macro="" textlink="">
      <xdr:nvSpPr>
        <xdr:cNvPr id="131" name="TextBox 130"/>
        <xdr:cNvSpPr txBox="1"/>
      </xdr:nvSpPr>
      <xdr:spPr>
        <a:xfrm>
          <a:off x="4762500" y="184785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n-CA" sz="800"/>
            <a:t>Economizer</a:t>
          </a:r>
        </a:p>
      </xdr:txBody>
    </xdr:sp>
    <xdr:clientData/>
  </xdr:twoCellAnchor>
  <xdr:twoCellAnchor>
    <xdr:from>
      <xdr:col>9</xdr:col>
      <xdr:colOff>104775</xdr:colOff>
      <xdr:row>5</xdr:row>
      <xdr:rowOff>95250</xdr:rowOff>
    </xdr:from>
    <xdr:to>
      <xdr:col>11</xdr:col>
      <xdr:colOff>161925</xdr:colOff>
      <xdr:row>5</xdr:row>
      <xdr:rowOff>104775</xdr:rowOff>
    </xdr:to>
    <xdr:cxnSp macro="">
      <xdr:nvCxnSpPr>
        <xdr:cNvPr id="133" name="Straight Connector 132"/>
        <xdr:cNvCxnSpPr/>
      </xdr:nvCxnSpPr>
      <xdr:spPr>
        <a:xfrm flipV="1">
          <a:off x="5610225" y="1095375"/>
          <a:ext cx="1276350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7</xdr:row>
      <xdr:rowOff>123825</xdr:rowOff>
    </xdr:from>
    <xdr:to>
      <xdr:col>11</xdr:col>
      <xdr:colOff>285750</xdr:colOff>
      <xdr:row>7</xdr:row>
      <xdr:rowOff>133350</xdr:rowOff>
    </xdr:to>
    <xdr:cxnSp macro="">
      <xdr:nvCxnSpPr>
        <xdr:cNvPr id="139" name="Straight Connector 138"/>
        <xdr:cNvCxnSpPr/>
      </xdr:nvCxnSpPr>
      <xdr:spPr>
        <a:xfrm rot="10800000" flipV="1">
          <a:off x="5295900" y="1504950"/>
          <a:ext cx="1714500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200025</xdr:colOff>
      <xdr:row>15</xdr:row>
      <xdr:rowOff>152400</xdr:rowOff>
    </xdr:from>
    <xdr:to>
      <xdr:col>9</xdr:col>
      <xdr:colOff>533400</xdr:colOff>
      <xdr:row>17</xdr:row>
      <xdr:rowOff>47625</xdr:rowOff>
    </xdr:to>
    <xdr:pic>
      <xdr:nvPicPr>
        <xdr:cNvPr id="116290" name="Picture 49" descr="fan_r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705475" y="3057525"/>
          <a:ext cx="33337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428625</xdr:colOff>
      <xdr:row>7</xdr:row>
      <xdr:rowOff>133350</xdr:rowOff>
    </xdr:from>
    <xdr:to>
      <xdr:col>8</xdr:col>
      <xdr:colOff>428625</xdr:colOff>
      <xdr:row>9</xdr:row>
      <xdr:rowOff>38100</xdr:rowOff>
    </xdr:to>
    <xdr:cxnSp macro="">
      <xdr:nvCxnSpPr>
        <xdr:cNvPr id="151" name="Straight Connector 150"/>
        <xdr:cNvCxnSpPr/>
      </xdr:nvCxnSpPr>
      <xdr:spPr>
        <a:xfrm rot="5400000">
          <a:off x="5324475" y="1514475"/>
          <a:ext cx="0" cy="28575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20</xdr:row>
      <xdr:rowOff>180975</xdr:rowOff>
    </xdr:from>
    <xdr:to>
      <xdr:col>8</xdr:col>
      <xdr:colOff>66675</xdr:colOff>
      <xdr:row>22</xdr:row>
      <xdr:rowOff>28575</xdr:rowOff>
    </xdr:to>
    <xdr:sp macro="" textlink="">
      <xdr:nvSpPr>
        <xdr:cNvPr id="156" name="TextBox 155"/>
        <xdr:cNvSpPr txBox="1"/>
      </xdr:nvSpPr>
      <xdr:spPr>
        <a:xfrm>
          <a:off x="4324350" y="4038600"/>
          <a:ext cx="638175" cy="22860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n-CA" sz="800" b="1"/>
            <a:t>WET</a:t>
          </a:r>
          <a:r>
            <a:rPr lang="en-CA" sz="800" b="1" baseline="0"/>
            <a:t> END</a:t>
          </a:r>
          <a:endParaRPr lang="en-CA" sz="800" b="1"/>
        </a:p>
      </xdr:txBody>
    </xdr:sp>
    <xdr:clientData/>
  </xdr:twoCellAnchor>
  <xdr:twoCellAnchor>
    <xdr:from>
      <xdr:col>8</xdr:col>
      <xdr:colOff>152400</xdr:colOff>
      <xdr:row>20</xdr:row>
      <xdr:rowOff>171450</xdr:rowOff>
    </xdr:from>
    <xdr:to>
      <xdr:col>9</xdr:col>
      <xdr:colOff>180975</xdr:colOff>
      <xdr:row>22</xdr:row>
      <xdr:rowOff>19050</xdr:rowOff>
    </xdr:to>
    <xdr:sp macro="" textlink="">
      <xdr:nvSpPr>
        <xdr:cNvPr id="157" name="TextBox 156"/>
        <xdr:cNvSpPr txBox="1"/>
      </xdr:nvSpPr>
      <xdr:spPr>
        <a:xfrm>
          <a:off x="5048250" y="4029075"/>
          <a:ext cx="638175" cy="22860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n-CA" sz="800" b="1"/>
            <a:t>DRY </a:t>
          </a:r>
          <a:r>
            <a:rPr lang="en-CA" sz="800" b="1" baseline="0"/>
            <a:t>END</a:t>
          </a:r>
          <a:endParaRPr lang="en-CA" sz="800" b="1"/>
        </a:p>
      </xdr:txBody>
    </xdr:sp>
    <xdr:clientData/>
  </xdr:twoCellAnchor>
  <xdr:twoCellAnchor>
    <xdr:from>
      <xdr:col>5</xdr:col>
      <xdr:colOff>571500</xdr:colOff>
      <xdr:row>12</xdr:row>
      <xdr:rowOff>123825</xdr:rowOff>
    </xdr:from>
    <xdr:to>
      <xdr:col>7</xdr:col>
      <xdr:colOff>133350</xdr:colOff>
      <xdr:row>15</xdr:row>
      <xdr:rowOff>76200</xdr:rowOff>
    </xdr:to>
    <xdr:sp macro="" textlink="">
      <xdr:nvSpPr>
        <xdr:cNvPr id="158" name="TextBox 157"/>
        <xdr:cNvSpPr txBox="1"/>
      </xdr:nvSpPr>
      <xdr:spPr>
        <a:xfrm>
          <a:off x="3619500" y="2457450"/>
          <a:ext cx="800100" cy="523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WET END BURNER</a:t>
          </a:r>
        </a:p>
      </xdr:txBody>
    </xdr:sp>
    <xdr:clientData/>
  </xdr:twoCellAnchor>
  <xdr:twoCellAnchor>
    <xdr:from>
      <xdr:col>9</xdr:col>
      <xdr:colOff>381000</xdr:colOff>
      <xdr:row>13</xdr:row>
      <xdr:rowOff>9525</xdr:rowOff>
    </xdr:from>
    <xdr:to>
      <xdr:col>10</xdr:col>
      <xdr:colOff>552450</xdr:colOff>
      <xdr:row>15</xdr:row>
      <xdr:rowOff>66675</xdr:rowOff>
    </xdr:to>
    <xdr:sp macro="" textlink="">
      <xdr:nvSpPr>
        <xdr:cNvPr id="159" name="TextBox 158"/>
        <xdr:cNvSpPr txBox="1"/>
      </xdr:nvSpPr>
      <xdr:spPr>
        <a:xfrm>
          <a:off x="5886450" y="2533650"/>
          <a:ext cx="781050" cy="4381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DRY END BURNER</a:t>
          </a:r>
        </a:p>
      </xdr:txBody>
    </xdr:sp>
    <xdr:clientData/>
  </xdr:twoCellAnchor>
  <xdr:twoCellAnchor>
    <xdr:from>
      <xdr:col>0</xdr:col>
      <xdr:colOff>352425</xdr:colOff>
      <xdr:row>16</xdr:row>
      <xdr:rowOff>123825</xdr:rowOff>
    </xdr:from>
    <xdr:to>
      <xdr:col>2</xdr:col>
      <xdr:colOff>123825</xdr:colOff>
      <xdr:row>16</xdr:row>
      <xdr:rowOff>123825</xdr:rowOff>
    </xdr:to>
    <xdr:cxnSp macro="">
      <xdr:nvCxnSpPr>
        <xdr:cNvPr id="160" name="Straight Connector 159"/>
        <xdr:cNvCxnSpPr/>
      </xdr:nvCxnSpPr>
      <xdr:spPr>
        <a:xfrm>
          <a:off x="352425" y="3219450"/>
          <a:ext cx="990600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17</xdr:row>
      <xdr:rowOff>104775</xdr:rowOff>
    </xdr:from>
    <xdr:to>
      <xdr:col>3</xdr:col>
      <xdr:colOff>409575</xdr:colOff>
      <xdr:row>20</xdr:row>
      <xdr:rowOff>66675</xdr:rowOff>
    </xdr:to>
    <xdr:sp macro="" textlink="">
      <xdr:nvSpPr>
        <xdr:cNvPr id="161" name="TextBox 160"/>
        <xdr:cNvSpPr txBox="1"/>
      </xdr:nvSpPr>
      <xdr:spPr>
        <a:xfrm>
          <a:off x="1428750" y="3390900"/>
          <a:ext cx="809625" cy="53340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WE COMB FAN</a:t>
          </a:r>
        </a:p>
      </xdr:txBody>
    </xdr:sp>
    <xdr:clientData/>
  </xdr:twoCellAnchor>
  <xdr:twoCellAnchor>
    <xdr:from>
      <xdr:col>13</xdr:col>
      <xdr:colOff>276225</xdr:colOff>
      <xdr:row>17</xdr:row>
      <xdr:rowOff>95250</xdr:rowOff>
    </xdr:from>
    <xdr:to>
      <xdr:col>15</xdr:col>
      <xdr:colOff>57150</xdr:colOff>
      <xdr:row>18</xdr:row>
      <xdr:rowOff>161925</xdr:rowOff>
    </xdr:to>
    <xdr:sp macro="" textlink="">
      <xdr:nvSpPr>
        <xdr:cNvPr id="162" name="TextBox 161"/>
        <xdr:cNvSpPr txBox="1"/>
      </xdr:nvSpPr>
      <xdr:spPr>
        <a:xfrm>
          <a:off x="8220075" y="3381375"/>
          <a:ext cx="1000125" cy="2571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DE COMB FAN</a:t>
          </a:r>
        </a:p>
      </xdr:txBody>
    </xdr:sp>
    <xdr:clientData/>
  </xdr:twoCellAnchor>
  <xdr:twoCellAnchor>
    <xdr:from>
      <xdr:col>8</xdr:col>
      <xdr:colOff>552450</xdr:colOff>
      <xdr:row>2</xdr:row>
      <xdr:rowOff>47625</xdr:rowOff>
    </xdr:from>
    <xdr:to>
      <xdr:col>11</xdr:col>
      <xdr:colOff>171450</xdr:colOff>
      <xdr:row>4</xdr:row>
      <xdr:rowOff>142875</xdr:rowOff>
    </xdr:to>
    <xdr:sp macro="" textlink="">
      <xdr:nvSpPr>
        <xdr:cNvPr id="163" name="TextBox 162"/>
        <xdr:cNvSpPr txBox="1"/>
      </xdr:nvSpPr>
      <xdr:spPr>
        <a:xfrm>
          <a:off x="5448300" y="476250"/>
          <a:ext cx="1447800" cy="4762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EXHAUST</a:t>
          </a:r>
          <a:r>
            <a:rPr lang="en-CA" sz="1100" baseline="0"/>
            <a:t> TO ATMOSPHERE</a:t>
          </a:r>
          <a:endParaRPr lang="en-CA" sz="1100"/>
        </a:p>
      </xdr:txBody>
    </xdr:sp>
    <xdr:clientData/>
  </xdr:twoCellAnchor>
  <xdr:twoCellAnchor>
    <xdr:from>
      <xdr:col>3</xdr:col>
      <xdr:colOff>552450</xdr:colOff>
      <xdr:row>9</xdr:row>
      <xdr:rowOff>38100</xdr:rowOff>
    </xdr:from>
    <xdr:to>
      <xdr:col>4</xdr:col>
      <xdr:colOff>561975</xdr:colOff>
      <xdr:row>10</xdr:row>
      <xdr:rowOff>104775</xdr:rowOff>
    </xdr:to>
    <xdr:sp macro="" textlink="">
      <xdr:nvSpPr>
        <xdr:cNvPr id="164" name="TextBox 163"/>
        <xdr:cNvSpPr txBox="1"/>
      </xdr:nvSpPr>
      <xdr:spPr>
        <a:xfrm>
          <a:off x="2381250" y="1800225"/>
          <a:ext cx="619125" cy="2571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GAS</a:t>
          </a:r>
        </a:p>
      </xdr:txBody>
    </xdr:sp>
    <xdr:clientData/>
  </xdr:twoCellAnchor>
  <xdr:twoCellAnchor>
    <xdr:from>
      <xdr:col>14</xdr:col>
      <xdr:colOff>161925</xdr:colOff>
      <xdr:row>9</xdr:row>
      <xdr:rowOff>85725</xdr:rowOff>
    </xdr:from>
    <xdr:to>
      <xdr:col>15</xdr:col>
      <xdr:colOff>171450</xdr:colOff>
      <xdr:row>10</xdr:row>
      <xdr:rowOff>152400</xdr:rowOff>
    </xdr:to>
    <xdr:sp macro="" textlink="">
      <xdr:nvSpPr>
        <xdr:cNvPr id="165" name="TextBox 164"/>
        <xdr:cNvSpPr txBox="1"/>
      </xdr:nvSpPr>
      <xdr:spPr>
        <a:xfrm>
          <a:off x="8715375" y="1847850"/>
          <a:ext cx="619125" cy="2571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GAS</a:t>
          </a:r>
        </a:p>
      </xdr:txBody>
    </xdr:sp>
    <xdr:clientData/>
  </xdr:twoCellAnchor>
  <xdr:twoCellAnchor>
    <xdr:from>
      <xdr:col>10</xdr:col>
      <xdr:colOff>171450</xdr:colOff>
      <xdr:row>23</xdr:row>
      <xdr:rowOff>57150</xdr:rowOff>
    </xdr:from>
    <xdr:to>
      <xdr:col>11</xdr:col>
      <xdr:colOff>228600</xdr:colOff>
      <xdr:row>23</xdr:row>
      <xdr:rowOff>57150</xdr:rowOff>
    </xdr:to>
    <xdr:sp macro="" textlink="">
      <xdr:nvSpPr>
        <xdr:cNvPr id="116302" name="Line 44"/>
        <xdr:cNvSpPr>
          <a:spLocks noChangeShapeType="1"/>
        </xdr:cNvSpPr>
      </xdr:nvSpPr>
      <xdr:spPr bwMode="auto">
        <a:xfrm flipH="1" flipV="1">
          <a:off x="6286500" y="4486275"/>
          <a:ext cx="666750" cy="0"/>
        </a:xfrm>
        <a:prstGeom prst="line">
          <a:avLst/>
        </a:prstGeom>
        <a:noFill/>
        <a:ln w="12700" cap="rnd">
          <a:solidFill>
            <a:srgbClr val="A6A6A6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238125</xdr:colOff>
      <xdr:row>10</xdr:row>
      <xdr:rowOff>38100</xdr:rowOff>
    </xdr:from>
    <xdr:to>
      <xdr:col>11</xdr:col>
      <xdr:colOff>257175</xdr:colOff>
      <xdr:row>23</xdr:row>
      <xdr:rowOff>47625</xdr:rowOff>
    </xdr:to>
    <xdr:cxnSp macro="">
      <xdr:nvCxnSpPr>
        <xdr:cNvPr id="171" name="Straight Connector 170"/>
        <xdr:cNvCxnSpPr/>
      </xdr:nvCxnSpPr>
      <xdr:spPr>
        <a:xfrm rot="5400000" flipH="1" flipV="1">
          <a:off x="6962775" y="1990725"/>
          <a:ext cx="19050" cy="24860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10</xdr:row>
      <xdr:rowOff>38100</xdr:rowOff>
    </xdr:from>
    <xdr:to>
      <xdr:col>13</xdr:col>
      <xdr:colOff>66675</xdr:colOff>
      <xdr:row>10</xdr:row>
      <xdr:rowOff>47625</xdr:rowOff>
    </xdr:to>
    <xdr:cxnSp macro="">
      <xdr:nvCxnSpPr>
        <xdr:cNvPr id="173" name="Straight Connector 172"/>
        <xdr:cNvCxnSpPr/>
      </xdr:nvCxnSpPr>
      <xdr:spPr>
        <a:xfrm flipV="1">
          <a:off x="6972300" y="1990725"/>
          <a:ext cx="1038225" cy="95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10</xdr:row>
      <xdr:rowOff>47625</xdr:rowOff>
    </xdr:from>
    <xdr:to>
      <xdr:col>12</xdr:col>
      <xdr:colOff>95250</xdr:colOff>
      <xdr:row>12</xdr:row>
      <xdr:rowOff>123825</xdr:rowOff>
    </xdr:to>
    <xdr:cxnSp macro="">
      <xdr:nvCxnSpPr>
        <xdr:cNvPr id="175" name="Straight Connector 174"/>
        <xdr:cNvCxnSpPr>
          <a:stCxn id="55" idx="0"/>
        </xdr:cNvCxnSpPr>
      </xdr:nvCxnSpPr>
      <xdr:spPr>
        <a:xfrm rot="5400000" flipH="1" flipV="1">
          <a:off x="7429500" y="2000250"/>
          <a:ext cx="0" cy="4572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10</xdr:row>
      <xdr:rowOff>47625</xdr:rowOff>
    </xdr:from>
    <xdr:to>
      <xdr:col>13</xdr:col>
      <xdr:colOff>66675</xdr:colOff>
      <xdr:row>15</xdr:row>
      <xdr:rowOff>19050</xdr:rowOff>
    </xdr:to>
    <xdr:cxnSp macro="">
      <xdr:nvCxnSpPr>
        <xdr:cNvPr id="177" name="Straight Connector 176"/>
        <xdr:cNvCxnSpPr/>
      </xdr:nvCxnSpPr>
      <xdr:spPr>
        <a:xfrm rot="5400000">
          <a:off x="8001000" y="2000250"/>
          <a:ext cx="9525" cy="9239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23</xdr:row>
      <xdr:rowOff>95250</xdr:rowOff>
    </xdr:from>
    <xdr:to>
      <xdr:col>6</xdr:col>
      <xdr:colOff>114300</xdr:colOff>
      <xdr:row>23</xdr:row>
      <xdr:rowOff>95250</xdr:rowOff>
    </xdr:to>
    <xdr:sp macro="" textlink="">
      <xdr:nvSpPr>
        <xdr:cNvPr id="116307" name="Line 44"/>
        <xdr:cNvSpPr>
          <a:spLocks noChangeShapeType="1"/>
        </xdr:cNvSpPr>
      </xdr:nvSpPr>
      <xdr:spPr bwMode="auto">
        <a:xfrm flipH="1" flipV="1">
          <a:off x="3105150" y="4524375"/>
          <a:ext cx="666750" cy="0"/>
        </a:xfrm>
        <a:prstGeom prst="line">
          <a:avLst/>
        </a:prstGeom>
        <a:noFill/>
        <a:ln w="12700" cap="rnd">
          <a:solidFill>
            <a:srgbClr val="A6A6A6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10</xdr:row>
      <xdr:rowOff>171450</xdr:rowOff>
    </xdr:from>
    <xdr:to>
      <xdr:col>5</xdr:col>
      <xdr:colOff>95250</xdr:colOff>
      <xdr:row>23</xdr:row>
      <xdr:rowOff>123825</xdr:rowOff>
    </xdr:to>
    <xdr:cxnSp macro="">
      <xdr:nvCxnSpPr>
        <xdr:cNvPr id="182" name="Straight Connector 181"/>
        <xdr:cNvCxnSpPr/>
      </xdr:nvCxnSpPr>
      <xdr:spPr>
        <a:xfrm rot="5400000" flipH="1" flipV="1">
          <a:off x="3124200" y="2124075"/>
          <a:ext cx="19050" cy="242887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10</xdr:row>
      <xdr:rowOff>152400</xdr:rowOff>
    </xdr:from>
    <xdr:to>
      <xdr:col>5</xdr:col>
      <xdr:colOff>95250</xdr:colOff>
      <xdr:row>10</xdr:row>
      <xdr:rowOff>161925</xdr:rowOff>
    </xdr:to>
    <xdr:cxnSp macro="">
      <xdr:nvCxnSpPr>
        <xdr:cNvPr id="183" name="Straight Connector 182"/>
        <xdr:cNvCxnSpPr/>
      </xdr:nvCxnSpPr>
      <xdr:spPr>
        <a:xfrm>
          <a:off x="2105025" y="2105025"/>
          <a:ext cx="1038225" cy="95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10</xdr:row>
      <xdr:rowOff>152400</xdr:rowOff>
    </xdr:from>
    <xdr:to>
      <xdr:col>4</xdr:col>
      <xdr:colOff>266700</xdr:colOff>
      <xdr:row>13</xdr:row>
      <xdr:rowOff>38100</xdr:rowOff>
    </xdr:to>
    <xdr:cxnSp macro="">
      <xdr:nvCxnSpPr>
        <xdr:cNvPr id="184" name="Straight Connector 183"/>
        <xdr:cNvCxnSpPr/>
      </xdr:nvCxnSpPr>
      <xdr:spPr>
        <a:xfrm rot="5400000" flipH="1" flipV="1">
          <a:off x="2705100" y="2105025"/>
          <a:ext cx="0" cy="4572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10</xdr:row>
      <xdr:rowOff>161925</xdr:rowOff>
    </xdr:from>
    <xdr:to>
      <xdr:col>3</xdr:col>
      <xdr:colOff>257175</xdr:colOff>
      <xdr:row>15</xdr:row>
      <xdr:rowOff>133350</xdr:rowOff>
    </xdr:to>
    <xdr:cxnSp macro="">
      <xdr:nvCxnSpPr>
        <xdr:cNvPr id="185" name="Straight Connector 184"/>
        <xdr:cNvCxnSpPr/>
      </xdr:nvCxnSpPr>
      <xdr:spPr>
        <a:xfrm rot="5400000">
          <a:off x="2076450" y="2114550"/>
          <a:ext cx="9525" cy="9239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21</xdr:row>
      <xdr:rowOff>95250</xdr:rowOff>
    </xdr:from>
    <xdr:to>
      <xdr:col>9</xdr:col>
      <xdr:colOff>609600</xdr:colOff>
      <xdr:row>22</xdr:row>
      <xdr:rowOff>114300</xdr:rowOff>
    </xdr:to>
    <xdr:cxnSp macro="">
      <xdr:nvCxnSpPr>
        <xdr:cNvPr id="186" name="Straight Connector 185"/>
        <xdr:cNvCxnSpPr/>
      </xdr:nvCxnSpPr>
      <xdr:spPr>
        <a:xfrm rot="16200000" flipV="1">
          <a:off x="6096000" y="4143375"/>
          <a:ext cx="19050" cy="2095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21</xdr:row>
      <xdr:rowOff>123825</xdr:rowOff>
    </xdr:from>
    <xdr:to>
      <xdr:col>6</xdr:col>
      <xdr:colOff>247650</xdr:colOff>
      <xdr:row>22</xdr:row>
      <xdr:rowOff>123825</xdr:rowOff>
    </xdr:to>
    <xdr:cxnSp macro="">
      <xdr:nvCxnSpPr>
        <xdr:cNvPr id="188" name="Straight Connector 187"/>
        <xdr:cNvCxnSpPr/>
      </xdr:nvCxnSpPr>
      <xdr:spPr>
        <a:xfrm rot="5400000" flipH="1" flipV="1">
          <a:off x="3905250" y="4171950"/>
          <a:ext cx="0" cy="1905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11</xdr:row>
      <xdr:rowOff>57150</xdr:rowOff>
    </xdr:from>
    <xdr:to>
      <xdr:col>9</xdr:col>
      <xdr:colOff>76200</xdr:colOff>
      <xdr:row>11</xdr:row>
      <xdr:rowOff>57150</xdr:rowOff>
    </xdr:to>
    <xdr:cxnSp macro="">
      <xdr:nvCxnSpPr>
        <xdr:cNvPr id="194" name="Straight Connector 193"/>
        <xdr:cNvCxnSpPr/>
      </xdr:nvCxnSpPr>
      <xdr:spPr>
        <a:xfrm>
          <a:off x="5457825" y="2200275"/>
          <a:ext cx="123825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11</xdr:row>
      <xdr:rowOff>57150</xdr:rowOff>
    </xdr:from>
    <xdr:to>
      <xdr:col>9</xdr:col>
      <xdr:colOff>85725</xdr:colOff>
      <xdr:row>16</xdr:row>
      <xdr:rowOff>104775</xdr:rowOff>
    </xdr:to>
    <xdr:cxnSp macro="">
      <xdr:nvCxnSpPr>
        <xdr:cNvPr id="196" name="Straight Connector 195"/>
        <xdr:cNvCxnSpPr/>
      </xdr:nvCxnSpPr>
      <xdr:spPr>
        <a:xfrm rot="5400000">
          <a:off x="5591175" y="2200275"/>
          <a:ext cx="0" cy="100012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</xdr:row>
      <xdr:rowOff>47625</xdr:rowOff>
    </xdr:from>
    <xdr:to>
      <xdr:col>7</xdr:col>
      <xdr:colOff>457200</xdr:colOff>
      <xdr:row>11</xdr:row>
      <xdr:rowOff>57150</xdr:rowOff>
    </xdr:to>
    <xdr:cxnSp macro="">
      <xdr:nvCxnSpPr>
        <xdr:cNvPr id="198" name="Straight Connector 197"/>
        <xdr:cNvCxnSpPr/>
      </xdr:nvCxnSpPr>
      <xdr:spPr>
        <a:xfrm flipV="1">
          <a:off x="4514850" y="2190750"/>
          <a:ext cx="228600" cy="9525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</xdr:row>
      <xdr:rowOff>57150</xdr:rowOff>
    </xdr:from>
    <xdr:to>
      <xdr:col>7</xdr:col>
      <xdr:colOff>238125</xdr:colOff>
      <xdr:row>16</xdr:row>
      <xdr:rowOff>95250</xdr:rowOff>
    </xdr:to>
    <xdr:cxnSp macro="">
      <xdr:nvCxnSpPr>
        <xdr:cNvPr id="199" name="Straight Connector 198"/>
        <xdr:cNvCxnSpPr/>
      </xdr:nvCxnSpPr>
      <xdr:spPr>
        <a:xfrm rot="16200000" flipH="1">
          <a:off x="4514850" y="2200275"/>
          <a:ext cx="9525" cy="99060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10</xdr:row>
      <xdr:rowOff>57150</xdr:rowOff>
    </xdr:from>
    <xdr:to>
      <xdr:col>10</xdr:col>
      <xdr:colOff>371475</xdr:colOff>
      <xdr:row>11</xdr:row>
      <xdr:rowOff>114300</xdr:rowOff>
    </xdr:to>
    <xdr:sp macro="" textlink="">
      <xdr:nvSpPr>
        <xdr:cNvPr id="209" name="TextBox 208"/>
        <xdr:cNvSpPr txBox="1"/>
      </xdr:nvSpPr>
      <xdr:spPr>
        <a:xfrm>
          <a:off x="5629275" y="2009775"/>
          <a:ext cx="857250" cy="2476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M/U</a:t>
          </a:r>
          <a:r>
            <a:rPr lang="en-CA" sz="1100" baseline="0"/>
            <a:t> AIR</a:t>
          </a:r>
          <a:endParaRPr lang="en-CA" sz="1100"/>
        </a:p>
      </xdr:txBody>
    </xdr:sp>
    <xdr:clientData/>
  </xdr:twoCellAnchor>
  <xdr:twoCellAnchor>
    <xdr:from>
      <xdr:col>5</xdr:col>
      <xdr:colOff>561975</xdr:colOff>
      <xdr:row>10</xdr:row>
      <xdr:rowOff>133350</xdr:rowOff>
    </xdr:from>
    <xdr:to>
      <xdr:col>7</xdr:col>
      <xdr:colOff>200025</xdr:colOff>
      <xdr:row>12</xdr:row>
      <xdr:rowOff>0</xdr:rowOff>
    </xdr:to>
    <xdr:sp macro="" textlink="">
      <xdr:nvSpPr>
        <xdr:cNvPr id="210" name="TextBox 209"/>
        <xdr:cNvSpPr txBox="1"/>
      </xdr:nvSpPr>
      <xdr:spPr>
        <a:xfrm>
          <a:off x="3609975" y="20859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CA" sz="1100"/>
            <a:t>M/U</a:t>
          </a:r>
          <a:r>
            <a:rPr lang="en-CA" sz="1100" baseline="0"/>
            <a:t> AIR</a:t>
          </a:r>
          <a:endParaRPr lang="en-CA" sz="1100"/>
        </a:p>
      </xdr:txBody>
    </xdr:sp>
    <xdr:clientData/>
  </xdr:twoCellAnchor>
  <xdr:twoCellAnchor editAs="oneCell">
    <xdr:from>
      <xdr:col>8</xdr:col>
      <xdr:colOff>561975</xdr:colOff>
      <xdr:row>14</xdr:row>
      <xdr:rowOff>171450</xdr:rowOff>
    </xdr:from>
    <xdr:to>
      <xdr:col>9</xdr:col>
      <xdr:colOff>247650</xdr:colOff>
      <xdr:row>15</xdr:row>
      <xdr:rowOff>161925</xdr:rowOff>
    </xdr:to>
    <xdr:pic>
      <xdr:nvPicPr>
        <xdr:cNvPr id="116320" name="Picture 210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5457825" y="2886075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114300</xdr:rowOff>
    </xdr:from>
    <xdr:to>
      <xdr:col>7</xdr:col>
      <xdr:colOff>390525</xdr:colOff>
      <xdr:row>15</xdr:row>
      <xdr:rowOff>104775</xdr:rowOff>
    </xdr:to>
    <xdr:pic>
      <xdr:nvPicPr>
        <xdr:cNvPr id="116321" name="Picture 211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381500" y="2828925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571500</xdr:colOff>
      <xdr:row>1</xdr:row>
      <xdr:rowOff>219075</xdr:rowOff>
    </xdr:to>
    <xdr:pic>
      <xdr:nvPicPr>
        <xdr:cNvPr id="116322" name="Picture 1" descr="PCI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66675" y="38100"/>
          <a:ext cx="50482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400050</xdr:colOff>
      <xdr:row>19</xdr:row>
      <xdr:rowOff>76200</xdr:rowOff>
    </xdr:from>
    <xdr:to>
      <xdr:col>9</xdr:col>
      <xdr:colOff>85725</xdr:colOff>
      <xdr:row>20</xdr:row>
      <xdr:rowOff>66675</xdr:rowOff>
    </xdr:to>
    <xdr:pic>
      <xdr:nvPicPr>
        <xdr:cNvPr id="81" name="Picture 86" descr="damper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5295900" y="3743325"/>
          <a:ext cx="295275" cy="180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95250</xdr:rowOff>
    </xdr:from>
    <xdr:to>
      <xdr:col>3</xdr:col>
      <xdr:colOff>238125</xdr:colOff>
      <xdr:row>10</xdr:row>
      <xdr:rowOff>85725</xdr:rowOff>
    </xdr:to>
    <xdr:pic>
      <xdr:nvPicPr>
        <xdr:cNvPr id="78652" name="Picture 3" descr="C:\pci_dryers\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8800" y="1285875"/>
          <a:ext cx="238125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247650</xdr:colOff>
      <xdr:row>22</xdr:row>
      <xdr:rowOff>57150</xdr:rowOff>
    </xdr:from>
    <xdr:to>
      <xdr:col>1</xdr:col>
      <xdr:colOff>485775</xdr:colOff>
      <xdr:row>24</xdr:row>
      <xdr:rowOff>28575</xdr:rowOff>
    </xdr:to>
    <xdr:pic>
      <xdr:nvPicPr>
        <xdr:cNvPr id="78653" name="Picture 4" descr="C:\pci_dryers\Valve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57250" y="4295775"/>
          <a:ext cx="2381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409575</xdr:colOff>
      <xdr:row>4</xdr:row>
      <xdr:rowOff>0</xdr:rowOff>
    </xdr:to>
    <xdr:pic>
      <xdr:nvPicPr>
        <xdr:cNvPr id="78654" name="Picture 5" descr="C:\pci_dryers\Sell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124200" y="619125"/>
          <a:ext cx="3333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104775</xdr:rowOff>
    </xdr:from>
    <xdr:to>
      <xdr:col>7</xdr:col>
      <xdr:colOff>161925</xdr:colOff>
      <xdr:row>9</xdr:row>
      <xdr:rowOff>57150</xdr:rowOff>
    </xdr:to>
    <xdr:pic>
      <xdr:nvPicPr>
        <xdr:cNvPr id="78655" name="Picture 6" descr="C:\pci_dryers\pc500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114800" y="1485900"/>
          <a:ext cx="31432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180975</xdr:rowOff>
    </xdr:from>
    <xdr:to>
      <xdr:col>8</xdr:col>
      <xdr:colOff>152400</xdr:colOff>
      <xdr:row>9</xdr:row>
      <xdr:rowOff>57150</xdr:rowOff>
    </xdr:to>
    <xdr:pic>
      <xdr:nvPicPr>
        <xdr:cNvPr id="78656" name="Picture 7" descr="C:\pci_dryers\Valvelt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686300" y="1562100"/>
          <a:ext cx="3429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457200</xdr:colOff>
      <xdr:row>14</xdr:row>
      <xdr:rowOff>114300</xdr:rowOff>
    </xdr:from>
    <xdr:to>
      <xdr:col>4</xdr:col>
      <xdr:colOff>152400</xdr:colOff>
      <xdr:row>16</xdr:row>
      <xdr:rowOff>47625</xdr:rowOff>
    </xdr:to>
    <xdr:pic>
      <xdr:nvPicPr>
        <xdr:cNvPr id="78657" name="Picture 8" descr="C:\pci_dryers\dpc501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86000" y="2828925"/>
          <a:ext cx="3048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381000</xdr:colOff>
      <xdr:row>14</xdr:row>
      <xdr:rowOff>28575</xdr:rowOff>
    </xdr:from>
    <xdr:to>
      <xdr:col>8</xdr:col>
      <xdr:colOff>381000</xdr:colOff>
      <xdr:row>23</xdr:row>
      <xdr:rowOff>133350</xdr:rowOff>
    </xdr:to>
    <xdr:sp macro="" textlink="">
      <xdr:nvSpPr>
        <xdr:cNvPr id="78658" name="Rectangle 9"/>
        <xdr:cNvSpPr>
          <a:spLocks noChangeArrowheads="1"/>
        </xdr:cNvSpPr>
      </xdr:nvSpPr>
      <xdr:spPr bwMode="auto">
        <a:xfrm>
          <a:off x="2209800" y="2743200"/>
          <a:ext cx="3048000" cy="1819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381000</xdr:colOff>
      <xdr:row>12</xdr:row>
      <xdr:rowOff>180975</xdr:rowOff>
    </xdr:from>
    <xdr:to>
      <xdr:col>9</xdr:col>
      <xdr:colOff>152400</xdr:colOff>
      <xdr:row>20</xdr:row>
      <xdr:rowOff>76200</xdr:rowOff>
    </xdr:to>
    <xdr:sp macro="" textlink="">
      <xdr:nvSpPr>
        <xdr:cNvPr id="78659" name="Rectangle 10"/>
        <xdr:cNvSpPr>
          <a:spLocks noChangeArrowheads="1"/>
        </xdr:cNvSpPr>
      </xdr:nvSpPr>
      <xdr:spPr bwMode="auto">
        <a:xfrm>
          <a:off x="2819400" y="2514600"/>
          <a:ext cx="2819400" cy="1419225"/>
        </a:xfrm>
        <a:prstGeom prst="rect">
          <a:avLst/>
        </a:prstGeom>
        <a:solidFill>
          <a:srgbClr val="F2DCDB"/>
        </a:solidFill>
        <a:ln w="2857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25</xdr:row>
      <xdr:rowOff>57150</xdr:rowOff>
    </xdr:from>
    <xdr:to>
      <xdr:col>6</xdr:col>
      <xdr:colOff>485775</xdr:colOff>
      <xdr:row>30</xdr:row>
      <xdr:rowOff>57150</xdr:rowOff>
    </xdr:to>
    <xdr:sp macro="" textlink="">
      <xdr:nvSpPr>
        <xdr:cNvPr id="78660" name="Rectangle 11"/>
        <xdr:cNvSpPr>
          <a:spLocks noChangeArrowheads="1"/>
        </xdr:cNvSpPr>
      </xdr:nvSpPr>
      <xdr:spPr bwMode="auto">
        <a:xfrm>
          <a:off x="3657600" y="4867275"/>
          <a:ext cx="485775" cy="952500"/>
        </a:xfrm>
        <a:prstGeom prst="rect">
          <a:avLst/>
        </a:prstGeom>
        <a:solidFill>
          <a:srgbClr val="E6B9B8"/>
        </a:solidFill>
        <a:ln w="381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457200</xdr:colOff>
      <xdr:row>23</xdr:row>
      <xdr:rowOff>133350</xdr:rowOff>
    </xdr:from>
    <xdr:to>
      <xdr:col>6</xdr:col>
      <xdr:colOff>152400</xdr:colOff>
      <xdr:row>23</xdr:row>
      <xdr:rowOff>133350</xdr:rowOff>
    </xdr:to>
    <xdr:sp macro="" textlink="">
      <xdr:nvSpPr>
        <xdr:cNvPr id="78661" name="Line 14"/>
        <xdr:cNvSpPr>
          <a:spLocks noChangeShapeType="1"/>
        </xdr:cNvSpPr>
      </xdr:nvSpPr>
      <xdr:spPr bwMode="auto">
        <a:xfrm>
          <a:off x="1066800" y="4562475"/>
          <a:ext cx="27432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152400</xdr:colOff>
      <xdr:row>23</xdr:row>
      <xdr:rowOff>133350</xdr:rowOff>
    </xdr:from>
    <xdr:to>
      <xdr:col>6</xdr:col>
      <xdr:colOff>152400</xdr:colOff>
      <xdr:row>25</xdr:row>
      <xdr:rowOff>66675</xdr:rowOff>
    </xdr:to>
    <xdr:sp macro="" textlink="">
      <xdr:nvSpPr>
        <xdr:cNvPr id="78662" name="Line 15"/>
        <xdr:cNvSpPr>
          <a:spLocks noChangeShapeType="1"/>
        </xdr:cNvSpPr>
      </xdr:nvSpPr>
      <xdr:spPr bwMode="auto">
        <a:xfrm>
          <a:off x="3810000" y="4562475"/>
          <a:ext cx="0" cy="3143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381000</xdr:colOff>
      <xdr:row>20</xdr:row>
      <xdr:rowOff>76200</xdr:rowOff>
    </xdr:from>
    <xdr:to>
      <xdr:col>6</xdr:col>
      <xdr:colOff>381000</xdr:colOff>
      <xdr:row>25</xdr:row>
      <xdr:rowOff>66675</xdr:rowOff>
    </xdr:to>
    <xdr:sp macro="" textlink="">
      <xdr:nvSpPr>
        <xdr:cNvPr id="78663" name="Line 16"/>
        <xdr:cNvSpPr>
          <a:spLocks noChangeShapeType="1"/>
        </xdr:cNvSpPr>
      </xdr:nvSpPr>
      <xdr:spPr bwMode="auto">
        <a:xfrm>
          <a:off x="4038600" y="3933825"/>
          <a:ext cx="0" cy="94297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0</xdr:col>
      <xdr:colOff>66675</xdr:colOff>
      <xdr:row>23</xdr:row>
      <xdr:rowOff>133350</xdr:rowOff>
    </xdr:from>
    <xdr:to>
      <xdr:col>1</xdr:col>
      <xdr:colOff>228600</xdr:colOff>
      <xdr:row>23</xdr:row>
      <xdr:rowOff>133350</xdr:rowOff>
    </xdr:to>
    <xdr:sp macro="" textlink="">
      <xdr:nvSpPr>
        <xdr:cNvPr id="78664" name="Line 18"/>
        <xdr:cNvSpPr>
          <a:spLocks noChangeShapeType="1"/>
        </xdr:cNvSpPr>
      </xdr:nvSpPr>
      <xdr:spPr bwMode="auto">
        <a:xfrm flipH="1">
          <a:off x="66675" y="4562475"/>
          <a:ext cx="7715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0</xdr:col>
      <xdr:colOff>381000</xdr:colOff>
      <xdr:row>5</xdr:row>
      <xdr:rowOff>9525</xdr:rowOff>
    </xdr:from>
    <xdr:to>
      <xdr:col>4</xdr:col>
      <xdr:colOff>0</xdr:colOff>
      <xdr:row>5</xdr:row>
      <xdr:rowOff>9525</xdr:rowOff>
    </xdr:to>
    <xdr:sp macro="" textlink="">
      <xdr:nvSpPr>
        <xdr:cNvPr id="78665" name="Line 19"/>
        <xdr:cNvSpPr>
          <a:spLocks noChangeShapeType="1"/>
        </xdr:cNvSpPr>
      </xdr:nvSpPr>
      <xdr:spPr bwMode="auto">
        <a:xfrm>
          <a:off x="381000" y="1009650"/>
          <a:ext cx="2057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0</xdr:colOff>
      <xdr:row>8</xdr:row>
      <xdr:rowOff>76200</xdr:rowOff>
    </xdr:to>
    <xdr:sp macro="" textlink="">
      <xdr:nvSpPr>
        <xdr:cNvPr id="78666" name="Line 20"/>
        <xdr:cNvSpPr>
          <a:spLocks noChangeShapeType="1"/>
        </xdr:cNvSpPr>
      </xdr:nvSpPr>
      <xdr:spPr bwMode="auto">
        <a:xfrm>
          <a:off x="2438400" y="1009650"/>
          <a:ext cx="0" cy="63817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228600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78667" name="Line 22"/>
        <xdr:cNvSpPr>
          <a:spLocks noChangeShapeType="1"/>
        </xdr:cNvSpPr>
      </xdr:nvSpPr>
      <xdr:spPr bwMode="auto">
        <a:xfrm flipH="1">
          <a:off x="2057400" y="1647825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2</xdr:col>
      <xdr:colOff>76200</xdr:colOff>
      <xdr:row>8</xdr:row>
      <xdr:rowOff>76200</xdr:rowOff>
    </xdr:from>
    <xdr:to>
      <xdr:col>2</xdr:col>
      <xdr:colOff>76200</xdr:colOff>
      <xdr:row>23</xdr:row>
      <xdr:rowOff>133350</xdr:rowOff>
    </xdr:to>
    <xdr:sp macro="" textlink="">
      <xdr:nvSpPr>
        <xdr:cNvPr id="78668" name="Line 23"/>
        <xdr:cNvSpPr>
          <a:spLocks noChangeShapeType="1"/>
        </xdr:cNvSpPr>
      </xdr:nvSpPr>
      <xdr:spPr bwMode="auto">
        <a:xfrm flipV="1">
          <a:off x="1295400" y="1647825"/>
          <a:ext cx="0" cy="291465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2</xdr:col>
      <xdr:colOff>76200</xdr:colOff>
      <xdr:row>8</xdr:row>
      <xdr:rowOff>76200</xdr:rowOff>
    </xdr:from>
    <xdr:to>
      <xdr:col>3</xdr:col>
      <xdr:colOff>0</xdr:colOff>
      <xdr:row>8</xdr:row>
      <xdr:rowOff>76200</xdr:rowOff>
    </xdr:to>
    <xdr:sp macro="" textlink="">
      <xdr:nvSpPr>
        <xdr:cNvPr id="78669" name="Line 24"/>
        <xdr:cNvSpPr>
          <a:spLocks noChangeShapeType="1"/>
        </xdr:cNvSpPr>
      </xdr:nvSpPr>
      <xdr:spPr bwMode="auto">
        <a:xfrm>
          <a:off x="1295400" y="1647825"/>
          <a:ext cx="533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114300</xdr:colOff>
      <xdr:row>10</xdr:row>
      <xdr:rowOff>85725</xdr:rowOff>
    </xdr:from>
    <xdr:to>
      <xdr:col>3</xdr:col>
      <xdr:colOff>114300</xdr:colOff>
      <xdr:row>11</xdr:row>
      <xdr:rowOff>133350</xdr:rowOff>
    </xdr:to>
    <xdr:sp macro="" textlink="">
      <xdr:nvSpPr>
        <xdr:cNvPr id="78670" name="Line 26"/>
        <xdr:cNvSpPr>
          <a:spLocks noChangeShapeType="1"/>
        </xdr:cNvSpPr>
      </xdr:nvSpPr>
      <xdr:spPr bwMode="auto">
        <a:xfrm>
          <a:off x="1943100" y="2038350"/>
          <a:ext cx="0" cy="2381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142875</xdr:colOff>
      <xdr:row>11</xdr:row>
      <xdr:rowOff>133350</xdr:rowOff>
    </xdr:from>
    <xdr:to>
      <xdr:col>8</xdr:col>
      <xdr:colOff>76200</xdr:colOff>
      <xdr:row>11</xdr:row>
      <xdr:rowOff>133350</xdr:rowOff>
    </xdr:to>
    <xdr:sp macro="" textlink="">
      <xdr:nvSpPr>
        <xdr:cNvPr id="78671" name="Line 27"/>
        <xdr:cNvSpPr>
          <a:spLocks noChangeShapeType="1"/>
        </xdr:cNvSpPr>
      </xdr:nvSpPr>
      <xdr:spPr bwMode="auto">
        <a:xfrm>
          <a:off x="1971675" y="2276475"/>
          <a:ext cx="29813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</xdr:col>
      <xdr:colOff>76200</xdr:colOff>
      <xdr:row>5</xdr:row>
      <xdr:rowOff>9525</xdr:rowOff>
    </xdr:from>
    <xdr:to>
      <xdr:col>12</xdr:col>
      <xdr:colOff>76200</xdr:colOff>
      <xdr:row>5</xdr:row>
      <xdr:rowOff>9525</xdr:rowOff>
    </xdr:to>
    <xdr:sp macro="" textlink="">
      <xdr:nvSpPr>
        <xdr:cNvPr id="78672" name="Line 29"/>
        <xdr:cNvSpPr>
          <a:spLocks noChangeShapeType="1"/>
        </xdr:cNvSpPr>
      </xdr:nvSpPr>
      <xdr:spPr bwMode="auto">
        <a:xfrm flipH="1">
          <a:off x="4953000" y="1009650"/>
          <a:ext cx="2438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</xdr:col>
      <xdr:colOff>76200</xdr:colOff>
      <xdr:row>5</xdr:row>
      <xdr:rowOff>9525</xdr:rowOff>
    </xdr:from>
    <xdr:to>
      <xdr:col>8</xdr:col>
      <xdr:colOff>76200</xdr:colOff>
      <xdr:row>7</xdr:row>
      <xdr:rowOff>180975</xdr:rowOff>
    </xdr:to>
    <xdr:sp macro="" textlink="">
      <xdr:nvSpPr>
        <xdr:cNvPr id="78673" name="Line 30"/>
        <xdr:cNvSpPr>
          <a:spLocks noChangeShapeType="1"/>
        </xdr:cNvSpPr>
      </xdr:nvSpPr>
      <xdr:spPr bwMode="auto">
        <a:xfrm>
          <a:off x="4953000" y="1009650"/>
          <a:ext cx="0" cy="55245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</xdr:col>
      <xdr:colOff>76200</xdr:colOff>
      <xdr:row>9</xdr:row>
      <xdr:rowOff>38100</xdr:rowOff>
    </xdr:from>
    <xdr:to>
      <xdr:col>8</xdr:col>
      <xdr:colOff>76200</xdr:colOff>
      <xdr:row>12</xdr:row>
      <xdr:rowOff>180975</xdr:rowOff>
    </xdr:to>
    <xdr:sp macro="" textlink="">
      <xdr:nvSpPr>
        <xdr:cNvPr id="78674" name="Line 31"/>
        <xdr:cNvSpPr>
          <a:spLocks noChangeShapeType="1"/>
        </xdr:cNvSpPr>
      </xdr:nvSpPr>
      <xdr:spPr bwMode="auto">
        <a:xfrm>
          <a:off x="4953000" y="1800225"/>
          <a:ext cx="0" cy="71437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457200</xdr:colOff>
      <xdr:row>20</xdr:row>
      <xdr:rowOff>76200</xdr:rowOff>
    </xdr:from>
    <xdr:to>
      <xdr:col>4</xdr:col>
      <xdr:colOff>228600</xdr:colOff>
      <xdr:row>20</xdr:row>
      <xdr:rowOff>76200</xdr:rowOff>
    </xdr:to>
    <xdr:sp macro="" textlink="">
      <xdr:nvSpPr>
        <xdr:cNvPr id="78675" name="Line 32"/>
        <xdr:cNvSpPr>
          <a:spLocks noChangeShapeType="1"/>
        </xdr:cNvSpPr>
      </xdr:nvSpPr>
      <xdr:spPr bwMode="auto">
        <a:xfrm flipH="1">
          <a:off x="2286000" y="39338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0</xdr:colOff>
      <xdr:row>16</xdr:row>
      <xdr:rowOff>47625</xdr:rowOff>
    </xdr:from>
    <xdr:to>
      <xdr:col>4</xdr:col>
      <xdr:colOff>0</xdr:colOff>
      <xdr:row>20</xdr:row>
      <xdr:rowOff>76200</xdr:rowOff>
    </xdr:to>
    <xdr:sp macro="" textlink="">
      <xdr:nvSpPr>
        <xdr:cNvPr id="78676" name="Line 33"/>
        <xdr:cNvSpPr>
          <a:spLocks noChangeShapeType="1"/>
        </xdr:cNvSpPr>
      </xdr:nvSpPr>
      <xdr:spPr bwMode="auto">
        <a:xfrm flipV="1">
          <a:off x="2438400" y="314325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12</xdr:row>
      <xdr:rowOff>180975</xdr:rowOff>
    </xdr:from>
    <xdr:to>
      <xdr:col>4</xdr:col>
      <xdr:colOff>304800</xdr:colOff>
      <xdr:row>12</xdr:row>
      <xdr:rowOff>180975</xdr:rowOff>
    </xdr:to>
    <xdr:sp macro="" textlink="">
      <xdr:nvSpPr>
        <xdr:cNvPr id="78677" name="Line 34"/>
        <xdr:cNvSpPr>
          <a:spLocks noChangeShapeType="1"/>
        </xdr:cNvSpPr>
      </xdr:nvSpPr>
      <xdr:spPr bwMode="auto">
        <a:xfrm>
          <a:off x="2286000" y="25146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0</xdr:colOff>
      <xdr:row>12</xdr:row>
      <xdr:rowOff>180975</xdr:rowOff>
    </xdr:from>
    <xdr:to>
      <xdr:col>4</xdr:col>
      <xdr:colOff>0</xdr:colOff>
      <xdr:row>14</xdr:row>
      <xdr:rowOff>114300</xdr:rowOff>
    </xdr:to>
    <xdr:sp macro="" textlink="">
      <xdr:nvSpPr>
        <xdr:cNvPr id="78678" name="Line 35"/>
        <xdr:cNvSpPr>
          <a:spLocks noChangeShapeType="1"/>
        </xdr:cNvSpPr>
      </xdr:nvSpPr>
      <xdr:spPr bwMode="auto">
        <a:xfrm>
          <a:off x="2438400" y="25146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152400</xdr:colOff>
      <xdr:row>8</xdr:row>
      <xdr:rowOff>76200</xdr:rowOff>
    </xdr:from>
    <xdr:to>
      <xdr:col>7</xdr:col>
      <xdr:colOff>457200</xdr:colOff>
      <xdr:row>8</xdr:row>
      <xdr:rowOff>76200</xdr:rowOff>
    </xdr:to>
    <xdr:sp macro="" textlink="">
      <xdr:nvSpPr>
        <xdr:cNvPr id="78679" name="Line 36"/>
        <xdr:cNvSpPr>
          <a:spLocks noChangeShapeType="1"/>
        </xdr:cNvSpPr>
      </xdr:nvSpPr>
      <xdr:spPr bwMode="auto">
        <a:xfrm>
          <a:off x="4419600" y="1647825"/>
          <a:ext cx="3048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15</xdr:row>
      <xdr:rowOff>161925</xdr:rowOff>
    </xdr:from>
    <xdr:to>
      <xdr:col>8</xdr:col>
      <xdr:colOff>304800</xdr:colOff>
      <xdr:row>18</xdr:row>
      <xdr:rowOff>0</xdr:rowOff>
    </xdr:to>
    <xdr:sp macro="" textlink="">
      <xdr:nvSpPr>
        <xdr:cNvPr id="30" name="Text Box 37"/>
        <xdr:cNvSpPr txBox="1">
          <a:spLocks noChangeArrowheads="1"/>
        </xdr:cNvSpPr>
      </xdr:nvSpPr>
      <xdr:spPr bwMode="auto">
        <a:xfrm>
          <a:off x="3124200" y="3067050"/>
          <a:ext cx="2057400" cy="409575"/>
        </a:xfrm>
        <a:prstGeom prst="rect">
          <a:avLst/>
        </a:prstGeom>
        <a:noFill/>
        <a:ln w="9525">
          <a:noFill/>
        </a:ln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n-US"/>
            <a:t>Yankee</a:t>
          </a:r>
        </a:p>
      </xdr:txBody>
    </xdr:sp>
    <xdr:clientData/>
  </xdr:twoCellAnchor>
  <xdr:twoCellAnchor>
    <xdr:from>
      <xdr:col>1</xdr:col>
      <xdr:colOff>381000</xdr:colOff>
      <xdr:row>15</xdr:row>
      <xdr:rowOff>76200</xdr:rowOff>
    </xdr:from>
    <xdr:to>
      <xdr:col>3</xdr:col>
      <xdr:colOff>457200</xdr:colOff>
      <xdr:row>15</xdr:row>
      <xdr:rowOff>76200</xdr:rowOff>
    </xdr:to>
    <xdr:sp macro="" textlink="">
      <xdr:nvSpPr>
        <xdr:cNvPr id="78681" name="Line 38"/>
        <xdr:cNvSpPr>
          <a:spLocks noChangeShapeType="1"/>
        </xdr:cNvSpPr>
      </xdr:nvSpPr>
      <xdr:spPr bwMode="auto">
        <a:xfrm flipH="1">
          <a:off x="990600" y="2981325"/>
          <a:ext cx="1295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1</xdr:col>
      <xdr:colOff>381000</xdr:colOff>
      <xdr:row>3</xdr:row>
      <xdr:rowOff>76200</xdr:rowOff>
    </xdr:from>
    <xdr:to>
      <xdr:col>1</xdr:col>
      <xdr:colOff>381000</xdr:colOff>
      <xdr:row>22</xdr:row>
      <xdr:rowOff>85725</xdr:rowOff>
    </xdr:to>
    <xdr:sp macro="" textlink="">
      <xdr:nvSpPr>
        <xdr:cNvPr id="78682" name="Line 39"/>
        <xdr:cNvSpPr>
          <a:spLocks noChangeShapeType="1"/>
        </xdr:cNvSpPr>
      </xdr:nvSpPr>
      <xdr:spPr bwMode="auto">
        <a:xfrm>
          <a:off x="990600" y="695325"/>
          <a:ext cx="0" cy="36290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1</xdr:col>
      <xdr:colOff>381000</xdr:colOff>
      <xdr:row>3</xdr:row>
      <xdr:rowOff>76200</xdr:rowOff>
    </xdr:from>
    <xdr:to>
      <xdr:col>5</xdr:col>
      <xdr:colOff>76200</xdr:colOff>
      <xdr:row>3</xdr:row>
      <xdr:rowOff>76200</xdr:rowOff>
    </xdr:to>
    <xdr:sp macro="" textlink="">
      <xdr:nvSpPr>
        <xdr:cNvPr id="78683" name="Line 40"/>
        <xdr:cNvSpPr>
          <a:spLocks noChangeShapeType="1"/>
        </xdr:cNvSpPr>
      </xdr:nvSpPr>
      <xdr:spPr bwMode="auto">
        <a:xfrm>
          <a:off x="990600" y="695325"/>
          <a:ext cx="2133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7</xdr:col>
      <xdr:colOff>304800</xdr:colOff>
      <xdr:row>3</xdr:row>
      <xdr:rowOff>76200</xdr:rowOff>
    </xdr:from>
    <xdr:to>
      <xdr:col>7</xdr:col>
      <xdr:colOff>304800</xdr:colOff>
      <xdr:row>8</xdr:row>
      <xdr:rowOff>76200</xdr:rowOff>
    </xdr:to>
    <xdr:sp macro="" textlink="">
      <xdr:nvSpPr>
        <xdr:cNvPr id="78684" name="Line 41"/>
        <xdr:cNvSpPr>
          <a:spLocks noChangeShapeType="1"/>
        </xdr:cNvSpPr>
      </xdr:nvSpPr>
      <xdr:spPr bwMode="auto">
        <a:xfrm flipV="1">
          <a:off x="4572000" y="695325"/>
          <a:ext cx="0" cy="9525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5</xdr:col>
      <xdr:colOff>381000</xdr:colOff>
      <xdr:row>3</xdr:row>
      <xdr:rowOff>76200</xdr:rowOff>
    </xdr:from>
    <xdr:to>
      <xdr:col>7</xdr:col>
      <xdr:colOff>304800</xdr:colOff>
      <xdr:row>3</xdr:row>
      <xdr:rowOff>76200</xdr:rowOff>
    </xdr:to>
    <xdr:sp macro="" textlink="">
      <xdr:nvSpPr>
        <xdr:cNvPr id="78685" name="Line 42"/>
        <xdr:cNvSpPr>
          <a:spLocks noChangeShapeType="1"/>
        </xdr:cNvSpPr>
      </xdr:nvSpPr>
      <xdr:spPr bwMode="auto">
        <a:xfrm flipH="1">
          <a:off x="3429000" y="695325"/>
          <a:ext cx="11430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5</xdr:col>
      <xdr:colOff>228600</xdr:colOff>
      <xdr:row>3</xdr:row>
      <xdr:rowOff>161925</xdr:rowOff>
    </xdr:from>
    <xdr:to>
      <xdr:col>5</xdr:col>
      <xdr:colOff>228600</xdr:colOff>
      <xdr:row>5</xdr:row>
      <xdr:rowOff>171450</xdr:rowOff>
    </xdr:to>
    <xdr:sp macro="" textlink="">
      <xdr:nvSpPr>
        <xdr:cNvPr id="78686" name="Line 43"/>
        <xdr:cNvSpPr>
          <a:spLocks noChangeShapeType="1"/>
        </xdr:cNvSpPr>
      </xdr:nvSpPr>
      <xdr:spPr bwMode="auto">
        <a:xfrm>
          <a:off x="3276600" y="781050"/>
          <a:ext cx="0" cy="390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3</xdr:col>
      <xdr:colOff>76200</xdr:colOff>
      <xdr:row>5</xdr:row>
      <xdr:rowOff>171450</xdr:rowOff>
    </xdr:from>
    <xdr:to>
      <xdr:col>5</xdr:col>
      <xdr:colOff>228600</xdr:colOff>
      <xdr:row>5</xdr:row>
      <xdr:rowOff>171450</xdr:rowOff>
    </xdr:to>
    <xdr:sp macro="" textlink="">
      <xdr:nvSpPr>
        <xdr:cNvPr id="78687" name="Line 44"/>
        <xdr:cNvSpPr>
          <a:spLocks noChangeShapeType="1"/>
        </xdr:cNvSpPr>
      </xdr:nvSpPr>
      <xdr:spPr bwMode="auto">
        <a:xfrm flipH="1">
          <a:off x="1905000" y="1171575"/>
          <a:ext cx="1371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3</xdr:col>
      <xdr:colOff>76200</xdr:colOff>
      <xdr:row>5</xdr:row>
      <xdr:rowOff>171450</xdr:rowOff>
    </xdr:from>
    <xdr:to>
      <xdr:col>3</xdr:col>
      <xdr:colOff>76200</xdr:colOff>
      <xdr:row>6</xdr:row>
      <xdr:rowOff>133350</xdr:rowOff>
    </xdr:to>
    <xdr:sp macro="" textlink="">
      <xdr:nvSpPr>
        <xdr:cNvPr id="78688" name="Line 45"/>
        <xdr:cNvSpPr>
          <a:spLocks noChangeShapeType="1"/>
        </xdr:cNvSpPr>
      </xdr:nvSpPr>
      <xdr:spPr bwMode="auto">
        <a:xfrm>
          <a:off x="1905000" y="1171575"/>
          <a:ext cx="0" cy="1524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8</xdr:col>
      <xdr:colOff>152400</xdr:colOff>
      <xdr:row>7</xdr:row>
      <xdr:rowOff>104775</xdr:rowOff>
    </xdr:from>
    <xdr:to>
      <xdr:col>12</xdr:col>
      <xdr:colOff>228600</xdr:colOff>
      <xdr:row>9</xdr:row>
      <xdr:rowOff>9525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5029200" y="1485900"/>
          <a:ext cx="2514600" cy="285750"/>
        </a:xfrm>
        <a:prstGeom prst="rect">
          <a:avLst/>
        </a:prstGeom>
        <a:noFill/>
        <a:ln w="9525">
          <a:noFill/>
        </a:ln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n-US" sz="1200"/>
            <a:t>Opens from 50 to 100% Output</a:t>
          </a:r>
        </a:p>
      </xdr:txBody>
    </xdr:sp>
    <xdr:clientData/>
  </xdr:twoCellAnchor>
  <xdr:twoCellAnchor>
    <xdr:from>
      <xdr:col>7</xdr:col>
      <xdr:colOff>0</xdr:colOff>
      <xdr:row>26</xdr:row>
      <xdr:rowOff>28575</xdr:rowOff>
    </xdr:from>
    <xdr:to>
      <xdr:col>9</xdr:col>
      <xdr:colOff>76200</xdr:colOff>
      <xdr:row>27</xdr:row>
      <xdr:rowOff>123825</xdr:rowOff>
    </xdr:to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4267200" y="5029200"/>
          <a:ext cx="1295400" cy="285750"/>
        </a:xfrm>
        <a:prstGeom prst="rect">
          <a:avLst/>
        </a:prstGeom>
        <a:noFill/>
        <a:ln w="9525">
          <a:noFill/>
        </a:ln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50000"/>
            </a:spcBef>
            <a:spcAft>
              <a:spcPct val="0"/>
            </a:spcAft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rgbClr val="000000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n-US" sz="1200" b="1"/>
            <a:t>Separator Tank</a:t>
          </a:r>
        </a:p>
      </xdr:txBody>
    </xdr:sp>
    <xdr:clientData/>
  </xdr:twoCellAnchor>
  <xdr:twoCellAnchor>
    <xdr:from>
      <xdr:col>6</xdr:col>
      <xdr:colOff>19050</xdr:colOff>
      <xdr:row>27</xdr:row>
      <xdr:rowOff>28575</xdr:rowOff>
    </xdr:from>
    <xdr:to>
      <xdr:col>6</xdr:col>
      <xdr:colOff>466725</xdr:colOff>
      <xdr:row>30</xdr:row>
      <xdr:rowOff>28575</xdr:rowOff>
    </xdr:to>
    <xdr:sp macro="" textlink="">
      <xdr:nvSpPr>
        <xdr:cNvPr id="45" name="Rectangle 44"/>
        <xdr:cNvSpPr/>
      </xdr:nvSpPr>
      <xdr:spPr>
        <a:xfrm>
          <a:off x="3676650" y="5219700"/>
          <a:ext cx="447675" cy="5715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 editAs="oneCell">
    <xdr:from>
      <xdr:col>7</xdr:col>
      <xdr:colOff>123825</xdr:colOff>
      <xdr:row>28</xdr:row>
      <xdr:rowOff>161925</xdr:rowOff>
    </xdr:from>
    <xdr:to>
      <xdr:col>7</xdr:col>
      <xdr:colOff>457200</xdr:colOff>
      <xdr:row>30</xdr:row>
      <xdr:rowOff>57150</xdr:rowOff>
    </xdr:to>
    <xdr:pic>
      <xdr:nvPicPr>
        <xdr:cNvPr id="78692" name="Picture 45" descr="fan_r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4391025" y="5543550"/>
          <a:ext cx="33337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476250</xdr:colOff>
      <xdr:row>29</xdr:row>
      <xdr:rowOff>114300</xdr:rowOff>
    </xdr:from>
    <xdr:to>
      <xdr:col>7</xdr:col>
      <xdr:colOff>123825</xdr:colOff>
      <xdr:row>29</xdr:row>
      <xdr:rowOff>114300</xdr:rowOff>
    </xdr:to>
    <xdr:cxnSp macro="">
      <xdr:nvCxnSpPr>
        <xdr:cNvPr id="48" name="Straight Connector 47"/>
        <xdr:cNvCxnSpPr>
          <a:stCxn id="46" idx="1"/>
        </xdr:cNvCxnSpPr>
      </xdr:nvCxnSpPr>
      <xdr:spPr>
        <a:xfrm rot="10800000" flipV="1">
          <a:off x="4133850" y="5686425"/>
          <a:ext cx="257175" cy="0"/>
        </a:xfrm>
        <a:prstGeom prst="line">
          <a:avLst/>
        </a:prstGeom>
        <a:ln w="317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28</xdr:row>
      <xdr:rowOff>180975</xdr:rowOff>
    </xdr:from>
    <xdr:to>
      <xdr:col>9</xdr:col>
      <xdr:colOff>104775</xdr:colOff>
      <xdr:row>28</xdr:row>
      <xdr:rowOff>180975</xdr:rowOff>
    </xdr:to>
    <xdr:cxnSp macro="">
      <xdr:nvCxnSpPr>
        <xdr:cNvPr id="51" name="Straight Connector 50"/>
        <xdr:cNvCxnSpPr/>
      </xdr:nvCxnSpPr>
      <xdr:spPr>
        <a:xfrm>
          <a:off x="4724400" y="5562600"/>
          <a:ext cx="866775" cy="0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523875</xdr:colOff>
      <xdr:row>1</xdr:row>
      <xdr:rowOff>219075</xdr:rowOff>
    </xdr:to>
    <xdr:pic>
      <xdr:nvPicPr>
        <xdr:cNvPr id="78695" name="Picture 1" descr="PCI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9050" y="66675"/>
          <a:ext cx="504825" cy="342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rnd">
          <a:solidFill>
            <a:schemeClr val="bg1">
              <a:lumMod val="65000"/>
            </a:schemeClr>
          </a:solidFill>
          <a:prstDash val="solid"/>
          <a:round/>
          <a:headEnd/>
          <a:tailEnd/>
        </a:ln>
      </a:spPr>
      <a:bodyPr/>
      <a:lstStyle/>
    </a:spDef>
    <a:lnDef>
      <a:spPr>
        <a:ln w="317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yness@Inl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GridLines="0" tabSelected="1" workbookViewId="0" topLeftCell="A4">
      <selection activeCell="D19" sqref="D19"/>
    </sheetView>
  </sheetViews>
  <sheetFormatPr defaultColWidth="26.57421875" defaultRowHeight="15"/>
  <cols>
    <col min="1" max="1" width="43.140625" style="0" customWidth="1"/>
    <col min="2" max="2" width="23.421875" style="0" customWidth="1"/>
    <col min="3" max="3" width="50.00390625" style="0" customWidth="1"/>
    <col min="5" max="5" width="36.28125" style="0" customWidth="1"/>
    <col min="9" max="9" width="19.57421875" style="0" customWidth="1"/>
    <col min="10" max="10" width="17.140625" style="0" customWidth="1"/>
    <col min="11" max="11" width="19.421875" style="0" customWidth="1"/>
    <col min="12" max="12" width="19.8515625" style="0" customWidth="1"/>
    <col min="13" max="13" width="19.57421875" style="0" customWidth="1"/>
    <col min="14" max="14" width="17.57421875" style="0" customWidth="1"/>
    <col min="15" max="16" width="19.00390625" style="0" customWidth="1"/>
  </cols>
  <sheetData>
    <row r="1" spans="1:40" ht="15">
      <c r="A1" s="2"/>
      <c r="B1" s="2"/>
      <c r="C1" s="15"/>
      <c r="D1" s="15"/>
      <c r="Z1" s="15">
        <v>21</v>
      </c>
      <c r="AA1" s="12" t="s">
        <v>31</v>
      </c>
      <c r="AB1" s="12" t="s">
        <v>32</v>
      </c>
      <c r="AC1" s="12" t="s">
        <v>33</v>
      </c>
      <c r="AD1" s="7" t="s">
        <v>64</v>
      </c>
      <c r="AE1" s="7" t="s">
        <v>65</v>
      </c>
      <c r="AF1" s="7" t="s">
        <v>34</v>
      </c>
      <c r="AG1" s="7" t="s">
        <v>66</v>
      </c>
      <c r="AH1" s="7" t="s">
        <v>67</v>
      </c>
      <c r="AI1" s="7" t="s">
        <v>36</v>
      </c>
      <c r="AJ1" s="7" t="s">
        <v>37</v>
      </c>
      <c r="AK1" s="7" t="s">
        <v>38</v>
      </c>
      <c r="AL1" s="7" t="s">
        <v>39</v>
      </c>
      <c r="AM1" s="7" t="s">
        <v>40</v>
      </c>
      <c r="AN1" s="7" t="s">
        <v>15</v>
      </c>
    </row>
    <row r="2" spans="1:40" ht="21">
      <c r="A2" s="2"/>
      <c r="B2" s="64" t="s">
        <v>44</v>
      </c>
      <c r="C2" s="65"/>
      <c r="D2" s="15"/>
      <c r="AA2" s="4">
        <v>0.06</v>
      </c>
      <c r="AB2" s="6">
        <f aca="true" t="shared" si="0" ref="AB2:AB24">$D$11</f>
        <v>252.27620447591048</v>
      </c>
      <c r="AC2" s="4">
        <f>AB2/AA2</f>
        <v>4204.6034079318415</v>
      </c>
      <c r="AD2" s="8">
        <f aca="true" t="shared" si="1" ref="AD2:AD24">($D$15*$B$30)+(($B$14-212)*$B$28*$D$15)+(212-$B$17)*$D$15*1</f>
        <v>318064.79307913844</v>
      </c>
      <c r="AE2" s="8">
        <f aca="true" t="shared" si="2" ref="AE2:AE24">AC2*$B$27*($B$14-$B$16)</f>
        <v>544916.6016679666</v>
      </c>
      <c r="AF2" s="9">
        <f>(AD2+AE2)*$B$24/100/$B$31</f>
        <v>610.1888649727005</v>
      </c>
      <c r="AG2" s="8">
        <f aca="true" t="shared" si="3" ref="AG2:AG24">($D$15*$B$30)+(($B$15-212)*$B$28*$D$15)+(212-$B$17)*$D$15*1</f>
        <v>283250.67686146277</v>
      </c>
      <c r="AH2" s="8">
        <f aca="true" t="shared" si="4" ref="AH2:AH24">AC2*$B$27*($B$15-$B$16)</f>
        <v>242185.15629687405</v>
      </c>
      <c r="AI2" s="8">
        <f>AG2*$B$23/1000000*1440*365</f>
        <v>744382.7787919241</v>
      </c>
      <c r="AJ2" s="8">
        <f>(AH2/1000000)*1440*$B$23*365</f>
        <v>636462.590748185</v>
      </c>
      <c r="AK2" s="5">
        <f>AI2+AJ2</f>
        <v>1380845.369540109</v>
      </c>
      <c r="AL2" s="10">
        <f aca="true" t="shared" si="5" ref="AL2:AL24">10.74*(AC2/28.9)*($B$15+460)/14.69</f>
        <v>80839.43566558439</v>
      </c>
      <c r="AM2" s="10">
        <f aca="true" t="shared" si="6" ref="AM2:AM24">10.74*(AB2/18)*($B$15+460)/14.69</f>
        <v>7787.532302451295</v>
      </c>
      <c r="AN2" s="11">
        <f>AL2+AM2</f>
        <v>88626.96796803568</v>
      </c>
    </row>
    <row r="3" spans="27:40" ht="15.75" thickBot="1">
      <c r="AA3" s="4">
        <f>AA2+0.02</f>
        <v>0.08</v>
      </c>
      <c r="AB3" s="6">
        <f t="shared" si="0"/>
        <v>252.27620447591048</v>
      </c>
      <c r="AC3" s="4">
        <f aca="true" t="shared" si="7" ref="AC3:AC24">AB3/AA3</f>
        <v>3153.4525559488807</v>
      </c>
      <c r="AD3" s="8">
        <f t="shared" si="1"/>
        <v>318064.79307913844</v>
      </c>
      <c r="AE3" s="8">
        <f t="shared" si="2"/>
        <v>408687.4512509749</v>
      </c>
      <c r="AF3" s="9">
        <f aca="true" t="shared" si="8" ref="AF3:AF24">(AD3+AE3)*$B$24/100/$B$31</f>
        <v>513.8652232637164</v>
      </c>
      <c r="AG3" s="8">
        <f t="shared" si="3"/>
        <v>283250.67686146277</v>
      </c>
      <c r="AH3" s="8">
        <f t="shared" si="4"/>
        <v>181638.8672226555</v>
      </c>
      <c r="AI3" s="8">
        <f aca="true" t="shared" si="9" ref="AI3:AI24">AG3*$B$23/1000000*1440*365</f>
        <v>744382.7787919241</v>
      </c>
      <c r="AJ3" s="8">
        <f aca="true" t="shared" si="10" ref="AJ3:AJ24">(AH3/1000000)*1440*$B$23*365</f>
        <v>477346.9430611387</v>
      </c>
      <c r="AK3" s="5">
        <f aca="true" t="shared" si="11" ref="AK3:AK24">AI3+AJ3</f>
        <v>1221729.7218530627</v>
      </c>
      <c r="AL3" s="10">
        <f t="shared" si="5"/>
        <v>60629.576749188294</v>
      </c>
      <c r="AM3" s="10">
        <f t="shared" si="6"/>
        <v>7787.532302451295</v>
      </c>
      <c r="AN3" s="11">
        <f aca="true" t="shared" si="12" ref="AN3:AN24">AL3+AM3</f>
        <v>68417.10905163959</v>
      </c>
    </row>
    <row r="4" spans="1:40" ht="21.75" thickBot="1" thickTop="1">
      <c r="A4" s="1" t="s">
        <v>35</v>
      </c>
      <c r="E4" s="67" t="s">
        <v>12</v>
      </c>
      <c r="F4" s="66">
        <f>Z1/100</f>
        <v>0.2</v>
      </c>
      <c r="AA4" s="4">
        <f aca="true" t="shared" si="13" ref="AA4:AA23">AA3+0.02</f>
        <v>0.1</v>
      </c>
      <c r="AB4" s="6">
        <f t="shared" si="0"/>
        <v>252.27620447591048</v>
      </c>
      <c r="AC4" s="4">
        <f t="shared" si="7"/>
        <v>2522.762044759105</v>
      </c>
      <c r="AD4" s="8">
        <f t="shared" si="1"/>
        <v>318064.79307913844</v>
      </c>
      <c r="AE4" s="8">
        <f t="shared" si="2"/>
        <v>326949.96100077993</v>
      </c>
      <c r="AF4" s="9">
        <f t="shared" si="8"/>
        <v>456.0710382383261</v>
      </c>
      <c r="AG4" s="8">
        <f t="shared" si="3"/>
        <v>283250.67686146277</v>
      </c>
      <c r="AH4" s="8">
        <f t="shared" si="4"/>
        <v>145311.09377812443</v>
      </c>
      <c r="AI4" s="8">
        <f t="shared" si="9"/>
        <v>744382.7787919241</v>
      </c>
      <c r="AJ4" s="8">
        <f t="shared" si="10"/>
        <v>381877.554448911</v>
      </c>
      <c r="AK4" s="5">
        <f t="shared" si="11"/>
        <v>1126260.333240835</v>
      </c>
      <c r="AL4" s="10">
        <f t="shared" si="5"/>
        <v>48503.66139935064</v>
      </c>
      <c r="AM4" s="10">
        <f t="shared" si="6"/>
        <v>7787.532302451295</v>
      </c>
      <c r="AN4" s="11">
        <f t="shared" si="12"/>
        <v>56291.19370180194</v>
      </c>
    </row>
    <row r="5" spans="1:40" ht="20.25" thickBot="1" thickTop="1">
      <c r="A5" s="68" t="s">
        <v>90</v>
      </c>
      <c r="AA5" s="4">
        <f t="shared" si="13"/>
        <v>0.12000000000000001</v>
      </c>
      <c r="AB5" s="6">
        <f t="shared" si="0"/>
        <v>252.27620447591048</v>
      </c>
      <c r="AC5" s="4">
        <f t="shared" si="7"/>
        <v>2102.3017039659203</v>
      </c>
      <c r="AD5" s="8">
        <f t="shared" si="1"/>
        <v>318064.79307913844</v>
      </c>
      <c r="AE5" s="8">
        <f t="shared" si="2"/>
        <v>272458.30083398323</v>
      </c>
      <c r="AF5" s="9">
        <f t="shared" si="8"/>
        <v>417.54158155473243</v>
      </c>
      <c r="AG5" s="8">
        <f t="shared" si="3"/>
        <v>283250.67686146277</v>
      </c>
      <c r="AH5" s="8">
        <f t="shared" si="4"/>
        <v>121092.578148437</v>
      </c>
      <c r="AI5" s="8">
        <f t="shared" si="9"/>
        <v>744382.7787919241</v>
      </c>
      <c r="AJ5" s="8">
        <f t="shared" si="10"/>
        <v>318231.2953740924</v>
      </c>
      <c r="AK5" s="5">
        <f t="shared" si="11"/>
        <v>1062614.0741660167</v>
      </c>
      <c r="AL5" s="10">
        <f t="shared" si="5"/>
        <v>40419.71783279219</v>
      </c>
      <c r="AM5" s="10">
        <f t="shared" si="6"/>
        <v>7787.532302451295</v>
      </c>
      <c r="AN5" s="11">
        <f t="shared" si="12"/>
        <v>48207.250135243485</v>
      </c>
    </row>
    <row r="6" spans="1:40" ht="16.5" thickTop="1">
      <c r="A6" s="28" t="s">
        <v>0</v>
      </c>
      <c r="B6" s="13"/>
      <c r="C6" s="28" t="s">
        <v>25</v>
      </c>
      <c r="D6" s="35"/>
      <c r="AA6" s="4">
        <f t="shared" si="13"/>
        <v>0.14</v>
      </c>
      <c r="AB6" s="6">
        <f t="shared" si="0"/>
        <v>252.27620447591048</v>
      </c>
      <c r="AC6" s="4">
        <f t="shared" si="7"/>
        <v>1801.972889113646</v>
      </c>
      <c r="AD6" s="8">
        <f t="shared" si="1"/>
        <v>318064.79307913844</v>
      </c>
      <c r="AE6" s="8">
        <f t="shared" si="2"/>
        <v>233535.68642912852</v>
      </c>
      <c r="AF6" s="9">
        <f t="shared" si="8"/>
        <v>390.0205410664514</v>
      </c>
      <c r="AG6" s="8">
        <f t="shared" si="3"/>
        <v>283250.67686146277</v>
      </c>
      <c r="AH6" s="8">
        <f t="shared" si="4"/>
        <v>103793.638412946</v>
      </c>
      <c r="AI6" s="8">
        <f t="shared" si="9"/>
        <v>744382.7787919241</v>
      </c>
      <c r="AJ6" s="8">
        <f t="shared" si="10"/>
        <v>272769.6817492221</v>
      </c>
      <c r="AK6" s="5">
        <f t="shared" si="11"/>
        <v>1017152.4605411462</v>
      </c>
      <c r="AL6" s="10">
        <f t="shared" si="5"/>
        <v>34645.47242810759</v>
      </c>
      <c r="AM6" s="10">
        <f t="shared" si="6"/>
        <v>7787.532302451295</v>
      </c>
      <c r="AN6" s="11">
        <f t="shared" si="12"/>
        <v>42433.00473055889</v>
      </c>
    </row>
    <row r="7" spans="1:40" ht="15">
      <c r="A7" s="29" t="s">
        <v>1</v>
      </c>
      <c r="B7" s="32">
        <v>5700</v>
      </c>
      <c r="C7" s="36" t="s">
        <v>19</v>
      </c>
      <c r="D7" s="32">
        <v>38</v>
      </c>
      <c r="AA7" s="4">
        <f t="shared" si="13"/>
        <v>0.16</v>
      </c>
      <c r="AB7" s="6">
        <f t="shared" si="0"/>
        <v>252.27620447591048</v>
      </c>
      <c r="AC7" s="4">
        <f t="shared" si="7"/>
        <v>1576.7262779744403</v>
      </c>
      <c r="AD7" s="8">
        <f t="shared" si="1"/>
        <v>318064.79307913844</v>
      </c>
      <c r="AE7" s="8">
        <f t="shared" si="2"/>
        <v>204343.72562548745</v>
      </c>
      <c r="AF7" s="9">
        <f t="shared" si="8"/>
        <v>369.3797607002405</v>
      </c>
      <c r="AG7" s="8">
        <f t="shared" si="3"/>
        <v>283250.67686146277</v>
      </c>
      <c r="AH7" s="8">
        <f t="shared" si="4"/>
        <v>90819.43361132775</v>
      </c>
      <c r="AI7" s="8">
        <f t="shared" si="9"/>
        <v>744382.7787919241</v>
      </c>
      <c r="AJ7" s="8">
        <f t="shared" si="10"/>
        <v>238673.47153056934</v>
      </c>
      <c r="AK7" s="5">
        <f t="shared" si="11"/>
        <v>983056.2503224935</v>
      </c>
      <c r="AL7" s="10">
        <f t="shared" si="5"/>
        <v>30314.788374594147</v>
      </c>
      <c r="AM7" s="10">
        <f t="shared" si="6"/>
        <v>7787.532302451295</v>
      </c>
      <c r="AN7" s="11">
        <f t="shared" si="12"/>
        <v>38102.32067704544</v>
      </c>
    </row>
    <row r="8" spans="1:40" ht="15">
      <c r="A8" s="29" t="s">
        <v>2</v>
      </c>
      <c r="B8" s="32">
        <v>115</v>
      </c>
      <c r="C8" s="29" t="s">
        <v>20</v>
      </c>
      <c r="D8" s="32">
        <v>96.5</v>
      </c>
      <c r="AA8" s="4">
        <f t="shared" si="13"/>
        <v>0.18</v>
      </c>
      <c r="AB8" s="6">
        <f t="shared" si="0"/>
        <v>252.27620447591048</v>
      </c>
      <c r="AC8" s="4">
        <f t="shared" si="7"/>
        <v>1401.5344693106138</v>
      </c>
      <c r="AD8" s="8">
        <f t="shared" si="1"/>
        <v>318064.79307913844</v>
      </c>
      <c r="AE8" s="8">
        <f t="shared" si="2"/>
        <v>181638.86722265554</v>
      </c>
      <c r="AF8" s="9">
        <f t="shared" si="8"/>
        <v>353.3258204154098</v>
      </c>
      <c r="AG8" s="8">
        <f t="shared" si="3"/>
        <v>283250.67686146277</v>
      </c>
      <c r="AH8" s="8">
        <f t="shared" si="4"/>
        <v>80728.38543229135</v>
      </c>
      <c r="AI8" s="8">
        <f t="shared" si="9"/>
        <v>744382.7787919241</v>
      </c>
      <c r="AJ8" s="8">
        <f t="shared" si="10"/>
        <v>212154.1969160617</v>
      </c>
      <c r="AK8" s="5">
        <f t="shared" si="11"/>
        <v>956536.9757079858</v>
      </c>
      <c r="AL8" s="10">
        <f t="shared" si="5"/>
        <v>26946.478555194797</v>
      </c>
      <c r="AM8" s="10">
        <f t="shared" si="6"/>
        <v>7787.532302451295</v>
      </c>
      <c r="AN8" s="11">
        <f t="shared" si="12"/>
        <v>34734.01085764609</v>
      </c>
    </row>
    <row r="9" spans="1:40" ht="15">
      <c r="A9" s="29" t="s">
        <v>3</v>
      </c>
      <c r="B9" s="32">
        <v>9</v>
      </c>
      <c r="C9" s="30" t="s">
        <v>4</v>
      </c>
      <c r="D9" s="37">
        <f>+(D8/D7)-1</f>
        <v>1.539473684210526</v>
      </c>
      <c r="AA9" s="4">
        <f t="shared" si="13"/>
        <v>0.19999999999999998</v>
      </c>
      <c r="AB9" s="6">
        <f t="shared" si="0"/>
        <v>252.27620447591048</v>
      </c>
      <c r="AC9" s="4">
        <f t="shared" si="7"/>
        <v>1261.3810223795524</v>
      </c>
      <c r="AD9" s="8">
        <f t="shared" si="1"/>
        <v>318064.79307913844</v>
      </c>
      <c r="AE9" s="8">
        <f t="shared" si="2"/>
        <v>163474.98050038997</v>
      </c>
      <c r="AF9" s="9">
        <f t="shared" si="8"/>
        <v>340.4826681875453</v>
      </c>
      <c r="AG9" s="8">
        <f t="shared" si="3"/>
        <v>283250.67686146277</v>
      </c>
      <c r="AH9" s="8">
        <f t="shared" si="4"/>
        <v>72655.54688906221</v>
      </c>
      <c r="AI9" s="8">
        <f t="shared" si="9"/>
        <v>744382.7787919241</v>
      </c>
      <c r="AJ9" s="8">
        <f t="shared" si="10"/>
        <v>190938.7772244555</v>
      </c>
      <c r="AK9" s="5">
        <f t="shared" si="11"/>
        <v>935321.5560163796</v>
      </c>
      <c r="AL9" s="10">
        <f t="shared" si="5"/>
        <v>24251.83069967532</v>
      </c>
      <c r="AM9" s="10">
        <f t="shared" si="6"/>
        <v>7787.532302451295</v>
      </c>
      <c r="AN9" s="11">
        <f t="shared" si="12"/>
        <v>32039.363002126614</v>
      </c>
    </row>
    <row r="10" spans="1:40" ht="15">
      <c r="A10" s="30" t="s">
        <v>5</v>
      </c>
      <c r="B10" s="33">
        <f>+(B7*B8*B9)/(16667*3)</f>
        <v>117.98764024719506</v>
      </c>
      <c r="C10" s="30" t="s">
        <v>6</v>
      </c>
      <c r="D10" s="33">
        <f>+$B$10*$D$9</f>
        <v>181.63886722265553</v>
      </c>
      <c r="AA10" s="4">
        <f t="shared" si="13"/>
        <v>0.21999999999999997</v>
      </c>
      <c r="AB10" s="6">
        <f t="shared" si="0"/>
        <v>252.27620447591048</v>
      </c>
      <c r="AC10" s="4">
        <f t="shared" si="7"/>
        <v>1146.7100203450477</v>
      </c>
      <c r="AD10" s="8">
        <f t="shared" si="1"/>
        <v>318064.79307913844</v>
      </c>
      <c r="AE10" s="8">
        <f t="shared" si="2"/>
        <v>148613.61863671817</v>
      </c>
      <c r="AF10" s="9">
        <f t="shared" si="8"/>
        <v>329.9746345465653</v>
      </c>
      <c r="AG10" s="8">
        <f t="shared" si="3"/>
        <v>283250.67686146277</v>
      </c>
      <c r="AH10" s="8">
        <f t="shared" si="4"/>
        <v>66050.49717187474</v>
      </c>
      <c r="AI10" s="8">
        <f t="shared" si="9"/>
        <v>744382.7787919241</v>
      </c>
      <c r="AJ10" s="8">
        <f t="shared" si="10"/>
        <v>173580.7065676868</v>
      </c>
      <c r="AK10" s="5">
        <f t="shared" si="11"/>
        <v>917963.485359611</v>
      </c>
      <c r="AL10" s="10">
        <f t="shared" si="5"/>
        <v>22047.118817886654</v>
      </c>
      <c r="AM10" s="10">
        <f t="shared" si="6"/>
        <v>7787.532302451295</v>
      </c>
      <c r="AN10" s="11">
        <f t="shared" si="12"/>
        <v>29834.65112033795</v>
      </c>
    </row>
    <row r="11" spans="1:40" ht="15.75" thickBot="1">
      <c r="A11" s="31" t="s">
        <v>7</v>
      </c>
      <c r="B11" s="34">
        <f>B10*97/100</f>
        <v>114.44801103977922</v>
      </c>
      <c r="C11" s="31" t="s">
        <v>41</v>
      </c>
      <c r="D11" s="38">
        <f>D10*2000/1440</f>
        <v>252.27620447591048</v>
      </c>
      <c r="AA11" s="4">
        <f t="shared" si="13"/>
        <v>0.23999999999999996</v>
      </c>
      <c r="AB11" s="6">
        <f t="shared" si="0"/>
        <v>252.27620447591048</v>
      </c>
      <c r="AC11" s="4">
        <f t="shared" si="7"/>
        <v>1051.1508519829604</v>
      </c>
      <c r="AD11" s="8">
        <f t="shared" si="1"/>
        <v>318064.79307913844</v>
      </c>
      <c r="AE11" s="8">
        <f t="shared" si="2"/>
        <v>136229.15041699164</v>
      </c>
      <c r="AF11" s="9">
        <f t="shared" si="8"/>
        <v>321.2179398457485</v>
      </c>
      <c r="AG11" s="8">
        <f t="shared" si="3"/>
        <v>283250.67686146277</v>
      </c>
      <c r="AH11" s="8">
        <f t="shared" si="4"/>
        <v>60546.28907421851</v>
      </c>
      <c r="AI11" s="8">
        <f t="shared" si="9"/>
        <v>744382.7787919241</v>
      </c>
      <c r="AJ11" s="8">
        <f t="shared" si="10"/>
        <v>159115.64768704624</v>
      </c>
      <c r="AK11" s="5">
        <f t="shared" si="11"/>
        <v>903498.4264789703</v>
      </c>
      <c r="AL11" s="10">
        <f t="shared" si="5"/>
        <v>20209.858916396097</v>
      </c>
      <c r="AM11" s="10">
        <f t="shared" si="6"/>
        <v>7787.532302451295</v>
      </c>
      <c r="AN11" s="11">
        <f t="shared" si="12"/>
        <v>27997.39121884739</v>
      </c>
    </row>
    <row r="12" spans="1:40" ht="16.5" thickBot="1" thickTop="1">
      <c r="A12" s="3"/>
      <c r="B12" s="2"/>
      <c r="C12" s="2"/>
      <c r="D12" s="2"/>
      <c r="AA12" s="4">
        <f t="shared" si="13"/>
        <v>0.25999999999999995</v>
      </c>
      <c r="AB12" s="6">
        <f t="shared" si="0"/>
        <v>252.27620447591048</v>
      </c>
      <c r="AC12" s="4">
        <f t="shared" si="7"/>
        <v>970.2930941381173</v>
      </c>
      <c r="AD12" s="8">
        <f t="shared" si="1"/>
        <v>318064.79307913844</v>
      </c>
      <c r="AE12" s="8">
        <f t="shared" si="2"/>
        <v>125749.9850003</v>
      </c>
      <c r="AF12" s="9">
        <f t="shared" si="8"/>
        <v>313.80842894505747</v>
      </c>
      <c r="AG12" s="8">
        <f t="shared" si="3"/>
        <v>283250.67686146277</v>
      </c>
      <c r="AH12" s="8">
        <f t="shared" si="4"/>
        <v>55888.88222235556</v>
      </c>
      <c r="AI12" s="8">
        <f t="shared" si="9"/>
        <v>744382.7787919241</v>
      </c>
      <c r="AJ12" s="8">
        <f t="shared" si="10"/>
        <v>146875.98248035042</v>
      </c>
      <c r="AK12" s="5">
        <f t="shared" si="11"/>
        <v>891258.7612722745</v>
      </c>
      <c r="AL12" s="10">
        <f t="shared" si="5"/>
        <v>18655.25438436563</v>
      </c>
      <c r="AM12" s="10">
        <f t="shared" si="6"/>
        <v>7787.532302451295</v>
      </c>
      <c r="AN12" s="11">
        <f t="shared" si="12"/>
        <v>26442.786686816926</v>
      </c>
    </row>
    <row r="13" spans="1:40" ht="19.5" thickBot="1" thickTop="1">
      <c r="A13" s="28" t="s">
        <v>23</v>
      </c>
      <c r="B13" s="13"/>
      <c r="C13" s="14" t="s">
        <v>26</v>
      </c>
      <c r="D13" s="13"/>
      <c r="AA13" s="4">
        <f t="shared" si="13"/>
        <v>0.27999999999999997</v>
      </c>
      <c r="AB13" s="6">
        <f t="shared" si="0"/>
        <v>252.27620447591048</v>
      </c>
      <c r="AC13" s="4">
        <f t="shared" si="7"/>
        <v>900.9864445568232</v>
      </c>
      <c r="AD13" s="8">
        <f t="shared" si="1"/>
        <v>318064.79307913844</v>
      </c>
      <c r="AE13" s="8">
        <f t="shared" si="2"/>
        <v>116767.84321456429</v>
      </c>
      <c r="AF13" s="9">
        <f t="shared" si="8"/>
        <v>307.457419601608</v>
      </c>
      <c r="AG13" s="8">
        <f t="shared" si="3"/>
        <v>283250.67686146277</v>
      </c>
      <c r="AH13" s="8">
        <f t="shared" si="4"/>
        <v>51896.81920647302</v>
      </c>
      <c r="AI13" s="8">
        <f t="shared" si="9"/>
        <v>744382.7787919241</v>
      </c>
      <c r="AJ13" s="8">
        <f t="shared" si="10"/>
        <v>136384.84087461108</v>
      </c>
      <c r="AK13" s="5">
        <f t="shared" si="11"/>
        <v>880767.6196665352</v>
      </c>
      <c r="AL13" s="10">
        <f t="shared" si="5"/>
        <v>17322.736214053803</v>
      </c>
      <c r="AM13" s="10">
        <f t="shared" si="6"/>
        <v>7787.532302451295</v>
      </c>
      <c r="AN13" s="11">
        <f t="shared" si="12"/>
        <v>25110.268516505097</v>
      </c>
    </row>
    <row r="14" spans="1:40" ht="18.75" thickTop="1">
      <c r="A14" s="39" t="s">
        <v>45</v>
      </c>
      <c r="B14" s="32">
        <v>600</v>
      </c>
      <c r="C14" s="55" t="s">
        <v>83</v>
      </c>
      <c r="D14" s="13"/>
      <c r="AA14" s="4">
        <f t="shared" si="13"/>
        <v>0.3</v>
      </c>
      <c r="AB14" s="6">
        <f t="shared" si="0"/>
        <v>252.27620447591048</v>
      </c>
      <c r="AC14" s="4">
        <f t="shared" si="7"/>
        <v>840.9206815863682</v>
      </c>
      <c r="AD14" s="8">
        <f t="shared" si="1"/>
        <v>318064.79307913844</v>
      </c>
      <c r="AE14" s="8">
        <f t="shared" si="2"/>
        <v>108983.32033359332</v>
      </c>
      <c r="AF14" s="9">
        <f t="shared" si="8"/>
        <v>301.95321150395176</v>
      </c>
      <c r="AG14" s="8">
        <f t="shared" si="3"/>
        <v>283250.67686146277</v>
      </c>
      <c r="AH14" s="8">
        <f t="shared" si="4"/>
        <v>48437.03125937481</v>
      </c>
      <c r="AI14" s="8">
        <f t="shared" si="9"/>
        <v>744382.7787919241</v>
      </c>
      <c r="AJ14" s="8">
        <f t="shared" si="10"/>
        <v>127292.518149637</v>
      </c>
      <c r="AK14" s="5">
        <f t="shared" si="11"/>
        <v>871675.2969415612</v>
      </c>
      <c r="AL14" s="10">
        <f t="shared" si="5"/>
        <v>16167.887133116878</v>
      </c>
      <c r="AM14" s="10">
        <f t="shared" si="6"/>
        <v>7787.532302451295</v>
      </c>
      <c r="AN14" s="11">
        <f t="shared" si="12"/>
        <v>23955.419435568172</v>
      </c>
    </row>
    <row r="15" spans="1:40" ht="15">
      <c r="A15" s="39" t="s">
        <v>46</v>
      </c>
      <c r="B15" s="32">
        <v>300</v>
      </c>
      <c r="C15" s="20" t="s">
        <v>27</v>
      </c>
      <c r="D15" s="33">
        <f>D11</f>
        <v>252.27620447591048</v>
      </c>
      <c r="AA15" s="4">
        <f t="shared" si="13"/>
        <v>0.32</v>
      </c>
      <c r="AB15" s="6">
        <f t="shared" si="0"/>
        <v>252.27620447591048</v>
      </c>
      <c r="AC15" s="4">
        <f t="shared" si="7"/>
        <v>788.3631389872202</v>
      </c>
      <c r="AD15" s="8">
        <f t="shared" si="1"/>
        <v>318064.79307913844</v>
      </c>
      <c r="AE15" s="8">
        <f t="shared" si="2"/>
        <v>102171.86281274373</v>
      </c>
      <c r="AF15" s="9">
        <f t="shared" si="8"/>
        <v>297.13702941850255</v>
      </c>
      <c r="AG15" s="8">
        <f t="shared" si="3"/>
        <v>283250.67686146277</v>
      </c>
      <c r="AH15" s="8">
        <f t="shared" si="4"/>
        <v>45409.71680566388</v>
      </c>
      <c r="AI15" s="8">
        <f t="shared" si="9"/>
        <v>744382.7787919241</v>
      </c>
      <c r="AJ15" s="8">
        <f t="shared" si="10"/>
        <v>119336.73576528467</v>
      </c>
      <c r="AK15" s="5">
        <f t="shared" si="11"/>
        <v>863719.5145572087</v>
      </c>
      <c r="AL15" s="10">
        <f t="shared" si="5"/>
        <v>15157.394187297074</v>
      </c>
      <c r="AM15" s="10">
        <f t="shared" si="6"/>
        <v>7787.532302451295</v>
      </c>
      <c r="AN15" s="11">
        <f t="shared" si="12"/>
        <v>22944.92648974837</v>
      </c>
    </row>
    <row r="16" spans="1:40" ht="15">
      <c r="A16" s="40" t="s">
        <v>63</v>
      </c>
      <c r="B16" s="43">
        <v>60</v>
      </c>
      <c r="C16" s="20" t="s">
        <v>28</v>
      </c>
      <c r="D16" s="52">
        <f>D11/F4</f>
        <v>1261.3810223795524</v>
      </c>
      <c r="AA16" s="4">
        <f t="shared" si="13"/>
        <v>0.34</v>
      </c>
      <c r="AB16" s="6">
        <f t="shared" si="0"/>
        <v>252.27620447591048</v>
      </c>
      <c r="AC16" s="4">
        <f t="shared" si="7"/>
        <v>741.9888366938543</v>
      </c>
      <c r="AD16" s="8">
        <f t="shared" si="1"/>
        <v>318064.79307913844</v>
      </c>
      <c r="AE16" s="8">
        <f t="shared" si="2"/>
        <v>96161.75323552352</v>
      </c>
      <c r="AF16" s="9">
        <f t="shared" si="8"/>
        <v>292.88745699016505</v>
      </c>
      <c r="AG16" s="8">
        <f t="shared" si="3"/>
        <v>283250.67686146277</v>
      </c>
      <c r="AH16" s="8">
        <f t="shared" si="4"/>
        <v>42738.556993566</v>
      </c>
      <c r="AI16" s="8">
        <f t="shared" si="9"/>
        <v>744382.7787919241</v>
      </c>
      <c r="AJ16" s="8">
        <f t="shared" si="10"/>
        <v>112316.92777909146</v>
      </c>
      <c r="AK16" s="5">
        <f t="shared" si="11"/>
        <v>856699.7065710155</v>
      </c>
      <c r="AL16" s="10">
        <f t="shared" si="5"/>
        <v>14265.782764514894</v>
      </c>
      <c r="AM16" s="10">
        <f t="shared" si="6"/>
        <v>7787.532302451295</v>
      </c>
      <c r="AN16" s="11">
        <f t="shared" si="12"/>
        <v>22053.315066966188</v>
      </c>
    </row>
    <row r="17" spans="1:40" ht="15">
      <c r="A17" s="41" t="s">
        <v>18</v>
      </c>
      <c r="B17" s="44">
        <v>100</v>
      </c>
      <c r="C17" s="20" t="s">
        <v>48</v>
      </c>
      <c r="D17" s="52">
        <f>($D$15*$B$30)+(($B$14-212)*$B$28*$D$15)+(212-$B$17)*$D$15*1</f>
        <v>318064.79307913844</v>
      </c>
      <c r="AA17" s="4">
        <f t="shared" si="13"/>
        <v>0.36000000000000004</v>
      </c>
      <c r="AB17" s="6">
        <f t="shared" si="0"/>
        <v>252.27620447591048</v>
      </c>
      <c r="AC17" s="4">
        <f t="shared" si="7"/>
        <v>700.7672346553068</v>
      </c>
      <c r="AD17" s="8">
        <f t="shared" si="1"/>
        <v>318064.79307913844</v>
      </c>
      <c r="AE17" s="8">
        <f t="shared" si="2"/>
        <v>90819.43361132775</v>
      </c>
      <c r="AF17" s="9">
        <f t="shared" si="8"/>
        <v>289.1100592760872</v>
      </c>
      <c r="AG17" s="8">
        <f t="shared" si="3"/>
        <v>283250.67686146277</v>
      </c>
      <c r="AH17" s="8">
        <f t="shared" si="4"/>
        <v>40364.19271614567</v>
      </c>
      <c r="AI17" s="8">
        <f t="shared" si="9"/>
        <v>744382.7787919241</v>
      </c>
      <c r="AJ17" s="8">
        <f t="shared" si="10"/>
        <v>106077.09845803083</v>
      </c>
      <c r="AK17" s="5">
        <f t="shared" si="11"/>
        <v>850459.877249955</v>
      </c>
      <c r="AL17" s="10">
        <f t="shared" si="5"/>
        <v>13473.239277597397</v>
      </c>
      <c r="AM17" s="10">
        <f t="shared" si="6"/>
        <v>7787.532302451295</v>
      </c>
      <c r="AN17" s="11">
        <f t="shared" si="12"/>
        <v>21260.77158004869</v>
      </c>
    </row>
    <row r="18" spans="1:40" ht="15">
      <c r="A18" s="41" t="s">
        <v>53</v>
      </c>
      <c r="B18" s="44">
        <v>100</v>
      </c>
      <c r="C18" s="16" t="s">
        <v>47</v>
      </c>
      <c r="D18" s="52">
        <f>$D$16*$B$27*($B$14-$B$16)</f>
        <v>163474.98050038997</v>
      </c>
      <c r="AA18" s="4">
        <f t="shared" si="13"/>
        <v>0.38000000000000006</v>
      </c>
      <c r="AB18" s="6">
        <f t="shared" si="0"/>
        <v>252.27620447591048</v>
      </c>
      <c r="AC18" s="4">
        <f t="shared" si="7"/>
        <v>663.8847486208169</v>
      </c>
      <c r="AD18" s="8">
        <f t="shared" si="1"/>
        <v>318064.79307913844</v>
      </c>
      <c r="AE18" s="8">
        <f t="shared" si="2"/>
        <v>86039.46342125788</v>
      </c>
      <c r="AF18" s="9">
        <f t="shared" si="8"/>
        <v>285.7302823740176</v>
      </c>
      <c r="AG18" s="8">
        <f t="shared" si="3"/>
        <v>283250.67686146277</v>
      </c>
      <c r="AH18" s="8">
        <f t="shared" si="4"/>
        <v>38239.761520559055</v>
      </c>
      <c r="AI18" s="8">
        <f t="shared" si="9"/>
        <v>744382.7787919241</v>
      </c>
      <c r="AJ18" s="8">
        <f t="shared" si="10"/>
        <v>100494.0932760292</v>
      </c>
      <c r="AK18" s="5">
        <f t="shared" si="11"/>
        <v>844876.8720679533</v>
      </c>
      <c r="AL18" s="10">
        <f t="shared" si="5"/>
        <v>12764.121420881746</v>
      </c>
      <c r="AM18" s="10">
        <f t="shared" si="6"/>
        <v>7787.532302451295</v>
      </c>
      <c r="AN18" s="11">
        <f t="shared" si="12"/>
        <v>20551.653723333042</v>
      </c>
    </row>
    <row r="19" spans="1:40" ht="15.75" customHeight="1" thickBot="1">
      <c r="A19" s="42" t="s">
        <v>56</v>
      </c>
      <c r="B19" s="45">
        <v>20</v>
      </c>
      <c r="C19" s="16" t="s">
        <v>86</v>
      </c>
      <c r="D19" s="52">
        <f>($D$15*$B$30)+(($B$15-212)*$B$28*$D$15)+(212-$B$17)*$D$15*1</f>
        <v>283250.67686146277</v>
      </c>
      <c r="AA19" s="4">
        <f t="shared" si="13"/>
        <v>0.4000000000000001</v>
      </c>
      <c r="AB19" s="6">
        <f t="shared" si="0"/>
        <v>252.27620447591048</v>
      </c>
      <c r="AC19" s="4">
        <f t="shared" si="7"/>
        <v>630.6905111897761</v>
      </c>
      <c r="AD19" s="8">
        <f t="shared" si="1"/>
        <v>318064.79307913844</v>
      </c>
      <c r="AE19" s="8">
        <f t="shared" si="2"/>
        <v>81737.49025019497</v>
      </c>
      <c r="AF19" s="9">
        <f t="shared" si="8"/>
        <v>282.6884831621549</v>
      </c>
      <c r="AG19" s="8">
        <f t="shared" si="3"/>
        <v>283250.67686146277</v>
      </c>
      <c r="AH19" s="8">
        <f t="shared" si="4"/>
        <v>36327.7734445311</v>
      </c>
      <c r="AI19" s="8">
        <f t="shared" si="9"/>
        <v>744382.7787919241</v>
      </c>
      <c r="AJ19" s="8">
        <f t="shared" si="10"/>
        <v>95469.38861222775</v>
      </c>
      <c r="AK19" s="5">
        <f t="shared" si="11"/>
        <v>839852.1674041519</v>
      </c>
      <c r="AL19" s="10">
        <f t="shared" si="5"/>
        <v>12125.915349837658</v>
      </c>
      <c r="AM19" s="10">
        <f t="shared" si="6"/>
        <v>7787.532302451295</v>
      </c>
      <c r="AN19" s="11">
        <f t="shared" si="12"/>
        <v>19913.447652288953</v>
      </c>
    </row>
    <row r="20" spans="3:40" ht="15" customHeight="1" thickTop="1">
      <c r="C20" s="16" t="s">
        <v>87</v>
      </c>
      <c r="D20" s="52">
        <f>$D$16*$B$27*($B$15-$B$16)</f>
        <v>72655.54688906221</v>
      </c>
      <c r="AA20" s="4">
        <f t="shared" si="13"/>
        <v>0.4200000000000001</v>
      </c>
      <c r="AB20" s="6">
        <f t="shared" si="0"/>
        <v>252.27620447591048</v>
      </c>
      <c r="AC20" s="4">
        <f t="shared" si="7"/>
        <v>600.6576297045486</v>
      </c>
      <c r="AD20" s="8">
        <f t="shared" si="1"/>
        <v>318064.79307913844</v>
      </c>
      <c r="AE20" s="8">
        <f t="shared" si="2"/>
        <v>77845.2288097095</v>
      </c>
      <c r="AF20" s="9">
        <f t="shared" si="8"/>
        <v>279.93637911332684</v>
      </c>
      <c r="AG20" s="8">
        <f t="shared" si="3"/>
        <v>283250.67686146277</v>
      </c>
      <c r="AH20" s="8">
        <f t="shared" si="4"/>
        <v>34597.879470982</v>
      </c>
      <c r="AI20" s="8">
        <f t="shared" si="9"/>
        <v>744382.7787919241</v>
      </c>
      <c r="AJ20" s="8">
        <f t="shared" si="10"/>
        <v>90923.2272497407</v>
      </c>
      <c r="AK20" s="5">
        <f t="shared" si="11"/>
        <v>835306.0060416649</v>
      </c>
      <c r="AL20" s="10">
        <f t="shared" si="5"/>
        <v>11548.490809369197</v>
      </c>
      <c r="AM20" s="10">
        <f t="shared" si="6"/>
        <v>7787.532302451295</v>
      </c>
      <c r="AN20" s="11">
        <f t="shared" si="12"/>
        <v>19336.023111820494</v>
      </c>
    </row>
    <row r="21" spans="3:40" ht="15" customHeight="1" thickBot="1">
      <c r="C21" s="21" t="s">
        <v>58</v>
      </c>
      <c r="D21" s="56">
        <f>(D17+D18-D19-D20)</f>
        <v>125633.54982900346</v>
      </c>
      <c r="AA21" s="4">
        <f t="shared" si="13"/>
        <v>0.4400000000000001</v>
      </c>
      <c r="AB21" s="6">
        <f t="shared" si="0"/>
        <v>252.27620447591048</v>
      </c>
      <c r="AC21" s="4">
        <f t="shared" si="7"/>
        <v>573.3550101725236</v>
      </c>
      <c r="AD21" s="8">
        <f t="shared" si="1"/>
        <v>318064.79307913844</v>
      </c>
      <c r="AE21" s="8">
        <f t="shared" si="2"/>
        <v>74306.80931835907</v>
      </c>
      <c r="AF21" s="9">
        <f t="shared" si="8"/>
        <v>277.4344663416649</v>
      </c>
      <c r="AG21" s="8">
        <f t="shared" si="3"/>
        <v>283250.67686146277</v>
      </c>
      <c r="AH21" s="8">
        <f t="shared" si="4"/>
        <v>33025.24858593736</v>
      </c>
      <c r="AI21" s="8">
        <f t="shared" si="9"/>
        <v>744382.7787919241</v>
      </c>
      <c r="AJ21" s="8">
        <f t="shared" si="10"/>
        <v>86790.35328384339</v>
      </c>
      <c r="AK21" s="5">
        <f t="shared" si="11"/>
        <v>831173.1320757675</v>
      </c>
      <c r="AL21" s="10">
        <f t="shared" si="5"/>
        <v>11023.559408943323</v>
      </c>
      <c r="AM21" s="10">
        <f t="shared" si="6"/>
        <v>7787.532302451295</v>
      </c>
      <c r="AN21" s="11">
        <f t="shared" si="12"/>
        <v>18811.09171139462</v>
      </c>
    </row>
    <row r="22" spans="1:40" ht="15.6" customHeight="1" thickTop="1">
      <c r="A22" s="46" t="s">
        <v>24</v>
      </c>
      <c r="B22" s="61"/>
      <c r="C22" s="57" t="s">
        <v>84</v>
      </c>
      <c r="D22" s="58"/>
      <c r="E22" t="s">
        <v>57</v>
      </c>
      <c r="AA22" s="4">
        <f t="shared" si="13"/>
        <v>0.46000000000000013</v>
      </c>
      <c r="AB22" s="6">
        <f t="shared" si="0"/>
        <v>252.27620447591048</v>
      </c>
      <c r="AC22" s="4">
        <f t="shared" si="7"/>
        <v>548.4265314693704</v>
      </c>
      <c r="AD22" s="8">
        <f t="shared" si="1"/>
        <v>318064.79307913844</v>
      </c>
      <c r="AE22" s="8">
        <f t="shared" si="2"/>
        <v>71076.0784784304</v>
      </c>
      <c r="AF22" s="9">
        <f t="shared" si="8"/>
        <v>275.15011120232145</v>
      </c>
      <c r="AG22" s="8">
        <f t="shared" si="3"/>
        <v>283250.67686146277</v>
      </c>
      <c r="AH22" s="8">
        <f t="shared" si="4"/>
        <v>31589.36821263573</v>
      </c>
      <c r="AI22" s="8">
        <f t="shared" si="9"/>
        <v>744382.7787919241</v>
      </c>
      <c r="AJ22" s="8">
        <f t="shared" si="10"/>
        <v>83016.8596628067</v>
      </c>
      <c r="AK22" s="5">
        <f t="shared" si="11"/>
        <v>827399.6384547309</v>
      </c>
      <c r="AL22" s="10">
        <f t="shared" si="5"/>
        <v>10544.274217250135</v>
      </c>
      <c r="AM22" s="10">
        <f t="shared" si="6"/>
        <v>7787.532302451295</v>
      </c>
      <c r="AN22" s="11">
        <f t="shared" si="12"/>
        <v>18331.80651970143</v>
      </c>
    </row>
    <row r="23" spans="1:40" ht="13.5" customHeight="1">
      <c r="A23" s="40" t="s">
        <v>8</v>
      </c>
      <c r="B23" s="43">
        <v>5</v>
      </c>
      <c r="C23" s="17" t="s">
        <v>42</v>
      </c>
      <c r="D23" s="52">
        <f>(D17+D18)*$B$24/($B$31*100)</f>
        <v>340.48266818754536</v>
      </c>
      <c r="AA23" s="4">
        <f t="shared" si="13"/>
        <v>0.48000000000000015</v>
      </c>
      <c r="AB23" s="6">
        <f t="shared" si="0"/>
        <v>252.27620447591048</v>
      </c>
      <c r="AC23" s="4">
        <f t="shared" si="7"/>
        <v>525.57542599148</v>
      </c>
      <c r="AD23" s="8">
        <f t="shared" si="1"/>
        <v>318064.79307913844</v>
      </c>
      <c r="AE23" s="8">
        <f t="shared" si="2"/>
        <v>68114.5752084958</v>
      </c>
      <c r="AF23" s="9">
        <f t="shared" si="8"/>
        <v>273.05611899125654</v>
      </c>
      <c r="AG23" s="8">
        <f t="shared" si="3"/>
        <v>283250.67686146277</v>
      </c>
      <c r="AH23" s="8">
        <f t="shared" si="4"/>
        <v>30273.144537109245</v>
      </c>
      <c r="AI23" s="8">
        <f t="shared" si="9"/>
        <v>744382.7787919241</v>
      </c>
      <c r="AJ23" s="8">
        <f t="shared" si="10"/>
        <v>79557.82384352309</v>
      </c>
      <c r="AK23" s="5">
        <f t="shared" si="11"/>
        <v>823940.6026354472</v>
      </c>
      <c r="AL23" s="10">
        <f t="shared" si="5"/>
        <v>10104.929458198045</v>
      </c>
      <c r="AM23" s="10">
        <f t="shared" si="6"/>
        <v>7787.532302451295</v>
      </c>
      <c r="AN23" s="11">
        <f t="shared" si="12"/>
        <v>17892.46176064934</v>
      </c>
    </row>
    <row r="24" spans="1:40" ht="15.75" thickBot="1">
      <c r="A24" s="62" t="s">
        <v>22</v>
      </c>
      <c r="B24" s="63">
        <v>70</v>
      </c>
      <c r="C24" s="16" t="s">
        <v>50</v>
      </c>
      <c r="D24" s="53">
        <f>$B$32*$D$23*14.69/(10.74*530)</f>
        <v>15.377109364448408</v>
      </c>
      <c r="AA24" s="4">
        <f>AA23+0.02</f>
        <v>0.5000000000000001</v>
      </c>
      <c r="AB24" s="6">
        <f t="shared" si="0"/>
        <v>252.27620447591048</v>
      </c>
      <c r="AC24" s="4">
        <f t="shared" si="7"/>
        <v>504.55240895182084</v>
      </c>
      <c r="AD24" s="8">
        <f t="shared" si="1"/>
        <v>318064.79307913844</v>
      </c>
      <c r="AE24" s="8">
        <f t="shared" si="2"/>
        <v>65389.99220015598</v>
      </c>
      <c r="AF24" s="9">
        <f t="shared" si="8"/>
        <v>271.1296461570769</v>
      </c>
      <c r="AG24" s="8">
        <f t="shared" si="3"/>
        <v>283250.67686146277</v>
      </c>
      <c r="AH24" s="8">
        <f t="shared" si="4"/>
        <v>29062.21875562488</v>
      </c>
      <c r="AI24" s="8">
        <f t="shared" si="9"/>
        <v>744382.7787919241</v>
      </c>
      <c r="AJ24" s="8">
        <f t="shared" si="10"/>
        <v>76375.51088978218</v>
      </c>
      <c r="AK24" s="5">
        <f t="shared" si="11"/>
        <v>820758.2896817063</v>
      </c>
      <c r="AL24" s="10">
        <f t="shared" si="5"/>
        <v>9700.732279870124</v>
      </c>
      <c r="AM24" s="10">
        <f t="shared" si="6"/>
        <v>7787.532302451295</v>
      </c>
      <c r="AN24" s="11">
        <f t="shared" si="12"/>
        <v>17488.26458232142</v>
      </c>
    </row>
    <row r="25" spans="3:4" ht="16.5" thickBot="1" thickTop="1">
      <c r="C25" s="16" t="s">
        <v>54</v>
      </c>
      <c r="D25" s="53">
        <f>(100+$B$19)/100*D24*4</f>
        <v>73.81012494935236</v>
      </c>
    </row>
    <row r="26" spans="1:4" ht="19.5" thickTop="1">
      <c r="A26" s="46" t="s">
        <v>43</v>
      </c>
      <c r="B26" s="13"/>
      <c r="C26" s="16" t="s">
        <v>62</v>
      </c>
      <c r="D26" s="53">
        <f>(100+$B$19)/100*3.76*$D$25</f>
        <v>333.0312837714778</v>
      </c>
    </row>
    <row r="27" spans="1:4" ht="15.95" customHeight="1" thickBot="1">
      <c r="A27" s="47" t="s">
        <v>9</v>
      </c>
      <c r="B27" s="50">
        <v>0.24</v>
      </c>
      <c r="C27" s="21" t="s">
        <v>55</v>
      </c>
      <c r="D27" s="59">
        <f>($D$25+$D$26)/$B$33*10.75*530/14.69</f>
        <v>5459.964823625822</v>
      </c>
    </row>
    <row r="28" spans="1:4" ht="18.75" thickTop="1">
      <c r="A28" s="47" t="s">
        <v>10</v>
      </c>
      <c r="B28" s="50">
        <v>0.46</v>
      </c>
      <c r="C28" s="57" t="s">
        <v>89</v>
      </c>
      <c r="D28" s="58"/>
    </row>
    <row r="29" spans="1:4" ht="15">
      <c r="A29" s="48" t="s">
        <v>21</v>
      </c>
      <c r="B29" s="50">
        <v>1</v>
      </c>
      <c r="C29" s="16" t="s">
        <v>88</v>
      </c>
      <c r="D29" s="52">
        <f>($D$20/1000000)*1440*$B$23*365</f>
        <v>190938.7772244555</v>
      </c>
    </row>
    <row r="30" spans="1:4" ht="15.75" thickBot="1">
      <c r="A30" s="48" t="s">
        <v>11</v>
      </c>
      <c r="B30" s="50">
        <v>970.3</v>
      </c>
      <c r="C30" s="21" t="s">
        <v>16</v>
      </c>
      <c r="D30" s="34">
        <f>$D$19*$B$23/1000000*1440*365</f>
        <v>744382.7787919241</v>
      </c>
    </row>
    <row r="31" spans="1:7" ht="18.75" thickTop="1">
      <c r="A31" s="47" t="s">
        <v>49</v>
      </c>
      <c r="B31" s="50">
        <v>990</v>
      </c>
      <c r="C31" s="57" t="s">
        <v>85</v>
      </c>
      <c r="D31" s="60"/>
      <c r="G31" t="s">
        <v>57</v>
      </c>
    </row>
    <row r="32" spans="1:4" ht="15">
      <c r="A32" s="47" t="s">
        <v>51</v>
      </c>
      <c r="B32" s="50">
        <v>17.5</v>
      </c>
      <c r="C32" s="20" t="s">
        <v>29</v>
      </c>
      <c r="D32" s="52">
        <f>10.74*($D$16/28.9)*($B$15+460)/14.69</f>
        <v>24251.83069967532</v>
      </c>
    </row>
    <row r="33" spans="1:4" ht="15.75" thickBot="1">
      <c r="A33" s="49" t="s">
        <v>52</v>
      </c>
      <c r="B33" s="51">
        <v>28.9</v>
      </c>
      <c r="C33" s="16" t="s">
        <v>30</v>
      </c>
      <c r="D33" s="52">
        <f>D32*(528/(460+B15))</f>
        <v>16848.640275563906</v>
      </c>
    </row>
    <row r="34" spans="3:4" ht="15.75" thickTop="1">
      <c r="C34" s="16" t="s">
        <v>13</v>
      </c>
      <c r="D34" s="52">
        <f>10.74*($D$11/18)*($B$15+460)/14.69</f>
        <v>7787.532302451295</v>
      </c>
    </row>
    <row r="35" spans="3:4" ht="15">
      <c r="C35" s="16" t="s">
        <v>14</v>
      </c>
      <c r="D35" s="52">
        <f>D34*(528/(460+B15))</f>
        <v>5410.2855995977425</v>
      </c>
    </row>
    <row r="36" spans="3:4" ht="15">
      <c r="C36" s="16" t="s">
        <v>15</v>
      </c>
      <c r="D36" s="52">
        <f>D32+D34</f>
        <v>32039.363002126614</v>
      </c>
    </row>
    <row r="37" spans="3:4" ht="15.75" thickBot="1">
      <c r="C37" s="21" t="s">
        <v>17</v>
      </c>
      <c r="D37" s="34">
        <f>D33+D35</f>
        <v>22258.92587516165</v>
      </c>
    </row>
    <row r="38" spans="3:4" ht="18.75" thickTop="1">
      <c r="C38" s="57" t="s">
        <v>60</v>
      </c>
      <c r="D38" s="58"/>
    </row>
    <row r="39" spans="3:4" ht="15">
      <c r="C39" s="16" t="s">
        <v>61</v>
      </c>
      <c r="D39" s="54">
        <f>-45.06*LN($B$18)+1096.6</f>
        <v>889.0910314193765</v>
      </c>
    </row>
    <row r="40" spans="3:4" ht="15.75" thickBot="1">
      <c r="C40" s="21" t="s">
        <v>59</v>
      </c>
      <c r="D40" s="34">
        <f>(D17+D18)*(100-$B$24)/100/D39*60</f>
        <v>9748.963399837767</v>
      </c>
    </row>
    <row r="41" ht="15.75" thickTop="1"/>
  </sheetData>
  <sheetProtection password="DEEB" sheet="1" objects="1" scenarios="1"/>
  <hyperlinks>
    <hyperlink ref="C7" r:id="rId1" display="Dryness@Inlet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showGridLines="0" workbookViewId="0" topLeftCell="A1">
      <selection activeCell="B41" sqref="B41"/>
    </sheetView>
  </sheetViews>
  <sheetFormatPr defaultColWidth="9.140625" defaultRowHeight="15"/>
  <cols>
    <col min="7" max="7" width="9.421875" style="0" customWidth="1"/>
  </cols>
  <sheetData>
    <row r="1" spans="1:26" ht="15">
      <c r="A1" s="2"/>
      <c r="B1" s="2"/>
      <c r="Z1">
        <v>21</v>
      </c>
    </row>
    <row r="2" spans="1:2" ht="18.75">
      <c r="A2" s="2"/>
      <c r="B2" s="27" t="s">
        <v>44</v>
      </c>
    </row>
    <row r="3" spans="7:8" ht="15">
      <c r="G3" s="23">
        <f>Hood_Overview!$D$16</f>
        <v>1261.3810223795524</v>
      </c>
      <c r="H3" s="23">
        <f>Hood_Overview!$D$11</f>
        <v>252.27620447591048</v>
      </c>
    </row>
    <row r="4" spans="7:8" ht="15">
      <c r="G4" t="s">
        <v>82</v>
      </c>
      <c r="H4" s="7" t="s">
        <v>71</v>
      </c>
    </row>
    <row r="5" spans="8:13" ht="15">
      <c r="H5" s="24">
        <f>Hood_Overview!$F$4</f>
        <v>0.2</v>
      </c>
      <c r="L5" s="19">
        <f>Hood_Overview!$D$36</f>
        <v>32039.363002126614</v>
      </c>
      <c r="M5" t="s">
        <v>73</v>
      </c>
    </row>
    <row r="6" spans="8:13" ht="15">
      <c r="H6" s="7" t="s">
        <v>70</v>
      </c>
      <c r="L6" s="19">
        <f>Hood_Overview!$D$37</f>
        <v>22258.92587516165</v>
      </c>
      <c r="M6" t="s">
        <v>72</v>
      </c>
    </row>
    <row r="8" ht="15">
      <c r="H8" s="7">
        <f>Hood_Overview!$B$15</f>
        <v>300</v>
      </c>
    </row>
    <row r="9" spans="8:12" ht="15">
      <c r="H9" s="18" t="s">
        <v>69</v>
      </c>
      <c r="J9" t="s">
        <v>68</v>
      </c>
      <c r="K9" s="19">
        <f>Hood_Overview!$B$16</f>
        <v>60</v>
      </c>
      <c r="L9" t="s">
        <v>69</v>
      </c>
    </row>
    <row r="12" ht="15">
      <c r="O12" s="7">
        <f>Hood_Overview!$B$16</f>
        <v>60</v>
      </c>
    </row>
    <row r="13" spans="2:17" ht="15">
      <c r="B13" s="19">
        <f>Hood_Overview!$D$23/2</f>
        <v>170.24133409377268</v>
      </c>
      <c r="C13" t="s">
        <v>72</v>
      </c>
      <c r="H13" s="7">
        <f>Hood_Overview!$B$14</f>
        <v>600</v>
      </c>
      <c r="O13" s="18" t="s">
        <v>69</v>
      </c>
      <c r="P13" s="19">
        <f>Hood_Overview!$D$23/2</f>
        <v>170.24133409377268</v>
      </c>
      <c r="Q13" t="s">
        <v>72</v>
      </c>
    </row>
    <row r="14" ht="15">
      <c r="H14" s="18" t="s">
        <v>69</v>
      </c>
    </row>
    <row r="15" ht="15">
      <c r="B15" t="s">
        <v>57</v>
      </c>
    </row>
    <row r="16" spans="16:17" ht="15">
      <c r="P16" s="19">
        <f>Hood_Overview!$D$27/2</f>
        <v>2729.982411812911</v>
      </c>
      <c r="Q16" t="s">
        <v>72</v>
      </c>
    </row>
    <row r="18" spans="1:17" ht="15">
      <c r="A18" s="19">
        <f>Hood_Overview!$D$27/2</f>
        <v>2729.982411812911</v>
      </c>
      <c r="B18" t="s">
        <v>72</v>
      </c>
      <c r="E18" t="s">
        <v>57</v>
      </c>
      <c r="L18" t="s">
        <v>57</v>
      </c>
      <c r="M18" s="19">
        <f>Hood_Overview!$B$16</f>
        <v>60</v>
      </c>
      <c r="P18" s="26">
        <f>Hood_Overview!$D$25/2</f>
        <v>36.90506247467618</v>
      </c>
      <c r="Q18" t="s">
        <v>80</v>
      </c>
    </row>
    <row r="19" spans="1:17" ht="15">
      <c r="A19" s="26">
        <f>Hood_Overview!$D$25/2</f>
        <v>36.90506247467618</v>
      </c>
      <c r="B19" t="s">
        <v>80</v>
      </c>
      <c r="H19" t="s">
        <v>57</v>
      </c>
      <c r="J19" t="s">
        <v>57</v>
      </c>
      <c r="M19" s="25" t="s">
        <v>69</v>
      </c>
      <c r="P19" s="26">
        <f>Hood_Overview!$D$26/2</f>
        <v>166.5156418857389</v>
      </c>
      <c r="Q19" t="s">
        <v>81</v>
      </c>
    </row>
    <row r="20" spans="1:2" ht="15">
      <c r="A20" s="26">
        <f>Hood_Overview!$D$26/2</f>
        <v>166.5156418857389</v>
      </c>
      <c r="B20" t="s">
        <v>81</v>
      </c>
    </row>
    <row r="26" spans="6:11" ht="15">
      <c r="F26" s="19">
        <f>Hood_Overview!$D$10</f>
        <v>181.63886722265553</v>
      </c>
      <c r="G26" t="s">
        <v>75</v>
      </c>
      <c r="J26" s="19">
        <f>Hood_Overview!$B$10</f>
        <v>117.98764024719506</v>
      </c>
      <c r="K26" t="s">
        <v>74</v>
      </c>
    </row>
    <row r="27" spans="6:11" ht="15">
      <c r="F27" s="19">
        <f>Hood_Overview!$B$11</f>
        <v>114.44801103977922</v>
      </c>
      <c r="G27" t="s">
        <v>76</v>
      </c>
      <c r="J27" s="22">
        <f>100-Hood_Overview!$D$8</f>
        <v>3.5</v>
      </c>
      <c r="K27" t="s">
        <v>77</v>
      </c>
    </row>
  </sheetData>
  <sheetProtection password="DEEB" sheet="1" objects="1" scenarios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L17" sqref="L17"/>
    </sheetView>
  </sheetViews>
  <sheetFormatPr defaultColWidth="9.140625" defaultRowHeight="15"/>
  <sheetData>
    <row r="1" spans="1:2" ht="15">
      <c r="A1" s="2"/>
      <c r="B1" s="2"/>
    </row>
    <row r="2" spans="1:2" ht="18.75">
      <c r="A2" s="2"/>
      <c r="B2" s="27" t="s">
        <v>44</v>
      </c>
    </row>
    <row r="13" spans="9:10" ht="15">
      <c r="I13" s="19">
        <f>Hood_Overview!D40</f>
        <v>9748.963399837767</v>
      </c>
      <c r="J13" t="s">
        <v>78</v>
      </c>
    </row>
    <row r="16" spans="10:11" ht="15">
      <c r="J16" s="19">
        <f>Hood_Overview!B18</f>
        <v>100</v>
      </c>
      <c r="K16" t="s">
        <v>79</v>
      </c>
    </row>
    <row r="30" spans="9:10" ht="15">
      <c r="I30" s="19">
        <f>Hood_Overview!D40</f>
        <v>9748.963399837767</v>
      </c>
      <c r="J30" t="s">
        <v>78</v>
      </c>
    </row>
  </sheetData>
  <sheetProtection password="DEEB"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Doug</cp:lastModifiedBy>
  <cp:lastPrinted>2012-11-07T22:14:47Z</cp:lastPrinted>
  <dcterms:created xsi:type="dcterms:W3CDTF">2010-02-02T21:53:22Z</dcterms:created>
  <dcterms:modified xsi:type="dcterms:W3CDTF">2013-03-20T18:57:07Z</dcterms:modified>
  <cp:category/>
  <cp:version/>
  <cp:contentType/>
  <cp:contentStatus/>
</cp:coreProperties>
</file>